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risP\Desktop\Yate Data Spreadsheets\"/>
    </mc:Choice>
  </mc:AlternateContent>
  <bookViews>
    <workbookView xWindow="0" yWindow="0" windowWidth="16392" windowHeight="5160" tabRatio="808"/>
  </bookViews>
  <sheets>
    <sheet name="Information" sheetId="28" r:id="rId1"/>
    <sheet name="DATA INPUT" sheetId="20" r:id="rId2"/>
    <sheet name="Report Tables" sheetId="2" r:id="rId3"/>
    <sheet name="Report Graphs" sheetId="25" r:id="rId4"/>
    <sheet name="Stats for Mission OUTPUT" sheetId="29" r:id="rId5"/>
  </sheets>
  <definedNames>
    <definedName name="_xlnm._FilterDatabase" localSheetId="1" hidden="1">'DATA INPUT'!$A$2:$H$3000</definedName>
  </definedNames>
  <calcPr calcId="162913"/>
</workbook>
</file>

<file path=xl/calcChain.xml><?xml version="1.0" encoding="utf-8"?>
<calcChain xmlns="http://schemas.openxmlformats.org/spreadsheetml/2006/main">
  <c r="E3" i="20" l="1"/>
  <c r="E4" i="20"/>
  <c r="E5" i="20"/>
  <c r="E6" i="20"/>
  <c r="E7" i="20"/>
  <c r="E8"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6" i="20"/>
  <c r="E57" i="20"/>
  <c r="E58" i="20"/>
  <c r="E59" i="20"/>
  <c r="E60" i="20"/>
  <c r="E61" i="20"/>
  <c r="E62" i="20"/>
  <c r="E63" i="20"/>
  <c r="E64" i="20"/>
  <c r="E65" i="20"/>
  <c r="E66" i="20"/>
  <c r="E67" i="20"/>
  <c r="E68" i="20"/>
  <c r="E69" i="20"/>
  <c r="E70" i="20"/>
  <c r="E71" i="20"/>
  <c r="E72" i="20"/>
  <c r="E73" i="20"/>
  <c r="E74" i="20"/>
  <c r="E75" i="20"/>
  <c r="E76" i="20"/>
  <c r="E77" i="20"/>
  <c r="E78" i="20"/>
  <c r="E79" i="20"/>
  <c r="E80" i="20"/>
  <c r="E81" i="20"/>
  <c r="E82" i="20"/>
  <c r="E83" i="20"/>
  <c r="E84" i="20"/>
  <c r="E85" i="20"/>
  <c r="E86" i="20"/>
  <c r="E87" i="20"/>
  <c r="E88" i="20"/>
  <c r="E89" i="20"/>
  <c r="E90" i="20"/>
  <c r="E91" i="20"/>
  <c r="E92" i="20"/>
  <c r="E93" i="20"/>
  <c r="E94" i="20"/>
  <c r="E95" i="20"/>
  <c r="E96" i="20"/>
  <c r="E97" i="20"/>
  <c r="E98" i="20"/>
  <c r="E99" i="20"/>
  <c r="E100" i="20"/>
  <c r="E101" i="20"/>
  <c r="E102" i="20"/>
  <c r="E103" i="20"/>
  <c r="E104" i="20"/>
  <c r="E105" i="20"/>
  <c r="E106" i="20"/>
  <c r="E107" i="20"/>
  <c r="E108" i="20"/>
  <c r="E109" i="20"/>
  <c r="E110" i="20"/>
  <c r="E111" i="20"/>
  <c r="E112" i="20"/>
  <c r="E113" i="20"/>
  <c r="E114" i="20"/>
  <c r="E115" i="20"/>
  <c r="E116" i="20"/>
  <c r="E117" i="20"/>
  <c r="E118" i="20"/>
  <c r="E119" i="20"/>
  <c r="E120" i="20"/>
  <c r="E121" i="20"/>
  <c r="E122" i="20"/>
  <c r="E123" i="20"/>
  <c r="E124" i="20"/>
  <c r="E125" i="20"/>
  <c r="E126" i="20"/>
  <c r="E127" i="20"/>
  <c r="E128" i="20"/>
  <c r="E129" i="20"/>
  <c r="E130" i="20"/>
  <c r="E131" i="20"/>
  <c r="E132" i="20"/>
  <c r="E133" i="20"/>
  <c r="E134" i="20"/>
  <c r="E135" i="20"/>
  <c r="E136" i="20"/>
  <c r="E137" i="20"/>
  <c r="E138" i="20"/>
  <c r="E139" i="20"/>
  <c r="E140" i="20"/>
  <c r="E141" i="20"/>
  <c r="E142" i="20"/>
  <c r="E143" i="20"/>
  <c r="E144" i="20"/>
  <c r="E145" i="20"/>
  <c r="E146" i="20"/>
  <c r="E147" i="20"/>
  <c r="E148" i="20"/>
  <c r="E149" i="20"/>
  <c r="E150" i="20"/>
  <c r="E151" i="20"/>
  <c r="E152" i="20"/>
  <c r="E153" i="20"/>
  <c r="E154" i="20"/>
  <c r="E155" i="20"/>
  <c r="E156" i="20"/>
  <c r="E157" i="20"/>
  <c r="E158" i="20"/>
  <c r="E159" i="20"/>
  <c r="E160" i="20"/>
  <c r="E161" i="20"/>
  <c r="E162" i="20"/>
  <c r="E163" i="20"/>
  <c r="E164" i="20"/>
  <c r="E165" i="20"/>
  <c r="E166" i="20"/>
  <c r="E167" i="20"/>
  <c r="E168" i="20"/>
  <c r="E169" i="20"/>
  <c r="E170" i="20"/>
  <c r="E171" i="20"/>
  <c r="E172" i="20"/>
  <c r="E173" i="20"/>
  <c r="E174" i="20"/>
  <c r="E175" i="20"/>
  <c r="E176" i="20"/>
  <c r="E177" i="20"/>
  <c r="E178" i="20"/>
  <c r="E179" i="20"/>
  <c r="E180" i="20"/>
  <c r="E181" i="20"/>
  <c r="E182" i="20"/>
  <c r="E183" i="20"/>
  <c r="E184" i="20"/>
  <c r="E185" i="20"/>
  <c r="E186" i="20"/>
  <c r="E187" i="20"/>
  <c r="E188" i="20"/>
  <c r="E189" i="20"/>
  <c r="E190" i="20"/>
  <c r="E191" i="20"/>
  <c r="E192" i="20"/>
  <c r="E193" i="20"/>
  <c r="E194" i="20"/>
  <c r="E195" i="20"/>
  <c r="E196" i="20"/>
  <c r="E197" i="20"/>
  <c r="E198" i="20"/>
  <c r="E199" i="20"/>
  <c r="E200" i="20"/>
  <c r="E201" i="20"/>
  <c r="E202" i="20"/>
  <c r="E203" i="20"/>
  <c r="E204" i="20"/>
  <c r="E205" i="20"/>
  <c r="E206" i="20"/>
  <c r="E207" i="20"/>
  <c r="E208" i="20"/>
  <c r="E209" i="20"/>
  <c r="E210" i="20"/>
  <c r="E211" i="20"/>
  <c r="E212" i="20"/>
  <c r="E213" i="20"/>
  <c r="E214" i="20"/>
  <c r="E215" i="20"/>
  <c r="E216" i="20"/>
  <c r="E217" i="20"/>
  <c r="E218" i="20"/>
  <c r="E219" i="20"/>
  <c r="E220" i="20"/>
  <c r="E221" i="20"/>
  <c r="E222" i="20"/>
  <c r="E223" i="20"/>
  <c r="E224" i="20"/>
  <c r="E225" i="20"/>
  <c r="E226" i="20"/>
  <c r="E227" i="20"/>
  <c r="E228" i="20"/>
  <c r="E229" i="20"/>
  <c r="E230" i="20"/>
  <c r="E231" i="20"/>
  <c r="E232" i="20"/>
  <c r="E233" i="20"/>
  <c r="E234" i="20"/>
  <c r="E235" i="20"/>
  <c r="E236" i="20"/>
  <c r="E237" i="20"/>
  <c r="E238" i="20"/>
  <c r="E239" i="20"/>
  <c r="E240" i="20"/>
  <c r="E241" i="20"/>
  <c r="E242" i="20"/>
  <c r="E243" i="20"/>
  <c r="E244" i="20"/>
  <c r="E245" i="20"/>
  <c r="E246" i="20"/>
  <c r="E247" i="20"/>
  <c r="E248" i="20"/>
  <c r="E249" i="20"/>
  <c r="E250" i="20"/>
  <c r="E251" i="20"/>
  <c r="E252" i="20"/>
  <c r="E253" i="20"/>
  <c r="E254" i="20"/>
  <c r="E255" i="20"/>
  <c r="E256" i="20"/>
  <c r="E257" i="20"/>
  <c r="E258" i="20"/>
  <c r="E259" i="20"/>
  <c r="E260" i="20"/>
  <c r="E261" i="20"/>
  <c r="E262" i="20"/>
  <c r="E263" i="20"/>
  <c r="E264" i="20"/>
  <c r="E265" i="20"/>
  <c r="E266" i="20"/>
  <c r="E267" i="20"/>
  <c r="E268" i="20"/>
  <c r="E269" i="20"/>
  <c r="E270" i="20"/>
  <c r="E271" i="20"/>
  <c r="E272" i="20"/>
  <c r="E273" i="20"/>
  <c r="E274" i="20"/>
  <c r="E275" i="20"/>
  <c r="E276" i="20"/>
  <c r="E277" i="20"/>
  <c r="E278" i="20"/>
  <c r="E279" i="20"/>
  <c r="E280" i="20"/>
  <c r="E281" i="20"/>
  <c r="E282" i="20"/>
  <c r="I31" i="29" s="1"/>
  <c r="E283" i="20"/>
  <c r="E284" i="20"/>
  <c r="E285" i="20"/>
  <c r="E286" i="20"/>
  <c r="E287" i="20"/>
  <c r="E288" i="20"/>
  <c r="E289" i="20"/>
  <c r="E290" i="20"/>
  <c r="E291" i="20"/>
  <c r="E292" i="20"/>
  <c r="E293" i="20"/>
  <c r="E294" i="20"/>
  <c r="E295" i="20"/>
  <c r="E296" i="20"/>
  <c r="E297" i="20"/>
  <c r="E298" i="20"/>
  <c r="E299" i="20"/>
  <c r="E300" i="20"/>
  <c r="E301" i="20"/>
  <c r="E302" i="20"/>
  <c r="E303" i="20"/>
  <c r="E304" i="20"/>
  <c r="E305" i="20"/>
  <c r="E306" i="20"/>
  <c r="E307" i="20"/>
  <c r="E308" i="20"/>
  <c r="E309" i="20"/>
  <c r="E310" i="20"/>
  <c r="E311" i="20"/>
  <c r="E312" i="20"/>
  <c r="E313" i="20"/>
  <c r="E314" i="20"/>
  <c r="E315" i="20"/>
  <c r="E316" i="20"/>
  <c r="E317" i="20"/>
  <c r="E318" i="20"/>
  <c r="E319" i="20"/>
  <c r="E320" i="20"/>
  <c r="E321" i="20"/>
  <c r="E322" i="20"/>
  <c r="E323" i="20"/>
  <c r="E324" i="20"/>
  <c r="E325" i="20"/>
  <c r="E326" i="20"/>
  <c r="E327" i="20"/>
  <c r="E328" i="20"/>
  <c r="E329" i="20"/>
  <c r="E330" i="20"/>
  <c r="E331" i="20"/>
  <c r="E332" i="20"/>
  <c r="E333" i="20"/>
  <c r="E334" i="20"/>
  <c r="E335" i="20"/>
  <c r="E336" i="20"/>
  <c r="E337" i="20"/>
  <c r="E338" i="20"/>
  <c r="E339" i="20"/>
  <c r="E340" i="20"/>
  <c r="E341" i="20"/>
  <c r="E342" i="20"/>
  <c r="E343" i="20"/>
  <c r="E344" i="20"/>
  <c r="E345" i="20"/>
  <c r="E346" i="20"/>
  <c r="E347" i="20"/>
  <c r="E348" i="20"/>
  <c r="E349" i="20"/>
  <c r="E350" i="20"/>
  <c r="E351" i="20"/>
  <c r="E352" i="20"/>
  <c r="E353" i="20"/>
  <c r="E354" i="20"/>
  <c r="E355" i="20"/>
  <c r="E356" i="20"/>
  <c r="E357" i="20"/>
  <c r="E358" i="20"/>
  <c r="E359" i="20"/>
  <c r="E360" i="20"/>
  <c r="E361" i="20"/>
  <c r="E362" i="20"/>
  <c r="E363" i="20"/>
  <c r="E364" i="20"/>
  <c r="E365" i="20"/>
  <c r="E366" i="20"/>
  <c r="E367" i="20"/>
  <c r="E368" i="20"/>
  <c r="E369" i="20"/>
  <c r="E370" i="20"/>
  <c r="E371" i="20"/>
  <c r="E372" i="20"/>
  <c r="E373" i="20"/>
  <c r="E374" i="20"/>
  <c r="E375" i="20"/>
  <c r="E376" i="20"/>
  <c r="E377" i="20"/>
  <c r="E378" i="20"/>
  <c r="E379" i="20"/>
  <c r="E380" i="20"/>
  <c r="E381" i="20"/>
  <c r="E382" i="20"/>
  <c r="E383" i="20"/>
  <c r="E384" i="20"/>
  <c r="E385" i="20"/>
  <c r="E386" i="20"/>
  <c r="E387" i="20"/>
  <c r="E388" i="20"/>
  <c r="E389" i="20"/>
  <c r="E390" i="20"/>
  <c r="E391" i="20"/>
  <c r="E392" i="20"/>
  <c r="E393" i="20"/>
  <c r="E394" i="20"/>
  <c r="E395" i="20"/>
  <c r="E396" i="20"/>
  <c r="E397" i="20"/>
  <c r="E398" i="20"/>
  <c r="E399" i="20"/>
  <c r="E400" i="20"/>
  <c r="E401" i="20"/>
  <c r="E402" i="20"/>
  <c r="E403" i="20"/>
  <c r="E404" i="20"/>
  <c r="E405" i="20"/>
  <c r="E406" i="20"/>
  <c r="E407" i="20"/>
  <c r="E408" i="20"/>
  <c r="E409" i="20"/>
  <c r="E410" i="20"/>
  <c r="E411" i="20"/>
  <c r="E412" i="20"/>
  <c r="E413" i="20"/>
  <c r="E414" i="20"/>
  <c r="E415" i="20"/>
  <c r="E416" i="20"/>
  <c r="E417" i="20"/>
  <c r="E418" i="20"/>
  <c r="E419" i="20"/>
  <c r="E420" i="20"/>
  <c r="E421" i="20"/>
  <c r="E422" i="20"/>
  <c r="E423" i="20"/>
  <c r="E424" i="20"/>
  <c r="E425" i="20"/>
  <c r="E426" i="20"/>
  <c r="E427" i="20"/>
  <c r="E428" i="20"/>
  <c r="E429" i="20"/>
  <c r="E430" i="20"/>
  <c r="E431" i="20"/>
  <c r="E432" i="20"/>
  <c r="E433" i="20"/>
  <c r="E434" i="20"/>
  <c r="E435" i="20"/>
  <c r="E436" i="20"/>
  <c r="E437" i="20"/>
  <c r="E438" i="20"/>
  <c r="E439" i="20"/>
  <c r="E440" i="20"/>
  <c r="E441" i="20"/>
  <c r="E442" i="20"/>
  <c r="E443" i="20"/>
  <c r="E444" i="20"/>
  <c r="E445" i="20"/>
  <c r="E446" i="20"/>
  <c r="E447" i="20"/>
  <c r="E448" i="20"/>
  <c r="E449" i="20"/>
  <c r="E450" i="20"/>
  <c r="E451" i="20"/>
  <c r="E452" i="20"/>
  <c r="E453" i="20"/>
  <c r="E454" i="20"/>
  <c r="E455" i="20"/>
  <c r="E456" i="20"/>
  <c r="E457" i="20"/>
  <c r="E458" i="20"/>
  <c r="E459" i="20"/>
  <c r="E460" i="20"/>
  <c r="E461" i="20"/>
  <c r="E462" i="20"/>
  <c r="E463" i="20"/>
  <c r="E464" i="20"/>
  <c r="E465" i="20"/>
  <c r="E466" i="20"/>
  <c r="E467" i="20"/>
  <c r="E468" i="20"/>
  <c r="E469" i="20"/>
  <c r="E470" i="20"/>
  <c r="E471" i="20"/>
  <c r="E472" i="20"/>
  <c r="E473" i="20"/>
  <c r="E474" i="20"/>
  <c r="E475" i="20"/>
  <c r="E476" i="20"/>
  <c r="E477" i="20"/>
  <c r="E478" i="20"/>
  <c r="E479" i="20"/>
  <c r="E480" i="20"/>
  <c r="E481" i="20"/>
  <c r="E482" i="20"/>
  <c r="E483" i="20"/>
  <c r="E484" i="20"/>
  <c r="E485" i="20"/>
  <c r="E486" i="20"/>
  <c r="E487" i="20"/>
  <c r="E488" i="20"/>
  <c r="E489" i="20"/>
  <c r="E490" i="20"/>
  <c r="E491" i="20"/>
  <c r="E492" i="20"/>
  <c r="E493" i="20"/>
  <c r="E494" i="20"/>
  <c r="E495" i="20"/>
  <c r="E496" i="20"/>
  <c r="E497" i="20"/>
  <c r="E498" i="20"/>
  <c r="E499" i="20"/>
  <c r="E500" i="20"/>
  <c r="E501" i="20"/>
  <c r="E502" i="20"/>
  <c r="E503" i="20"/>
  <c r="E504" i="20"/>
  <c r="E505" i="20"/>
  <c r="E506" i="20"/>
  <c r="E507" i="20"/>
  <c r="E508" i="20"/>
  <c r="E509" i="20"/>
  <c r="E510" i="20"/>
  <c r="E511" i="20"/>
  <c r="E512" i="20"/>
  <c r="E513" i="20"/>
  <c r="E514" i="20"/>
  <c r="E515" i="20"/>
  <c r="E516" i="20"/>
  <c r="E517" i="20"/>
  <c r="E518" i="20"/>
  <c r="E519" i="20"/>
  <c r="E520" i="20"/>
  <c r="E521" i="20"/>
  <c r="E522" i="20"/>
  <c r="E523" i="20"/>
  <c r="E524" i="20"/>
  <c r="E525" i="20"/>
  <c r="E526" i="20"/>
  <c r="E527" i="20"/>
  <c r="E528" i="20"/>
  <c r="E529" i="20"/>
  <c r="E530" i="20"/>
  <c r="E531" i="20"/>
  <c r="E532" i="20"/>
  <c r="E533" i="20"/>
  <c r="E534" i="20"/>
  <c r="E535" i="20"/>
  <c r="E536" i="20"/>
  <c r="E537" i="20"/>
  <c r="E538" i="20"/>
  <c r="E539" i="20"/>
  <c r="E540" i="20"/>
  <c r="E541" i="20"/>
  <c r="E542" i="20"/>
  <c r="E543" i="20"/>
  <c r="E544" i="20"/>
  <c r="E545" i="20"/>
  <c r="E546" i="20"/>
  <c r="E547" i="20"/>
  <c r="E548" i="20"/>
  <c r="E549" i="20"/>
  <c r="E550" i="20"/>
  <c r="E551" i="20"/>
  <c r="E552" i="20"/>
  <c r="E553" i="20"/>
  <c r="E554" i="20"/>
  <c r="E555" i="20"/>
  <c r="E556" i="20"/>
  <c r="E557" i="20"/>
  <c r="E558" i="20"/>
  <c r="E559" i="20"/>
  <c r="E560" i="20"/>
  <c r="E561" i="20"/>
  <c r="E562" i="20"/>
  <c r="E563" i="20"/>
  <c r="E564" i="20"/>
  <c r="E565" i="20"/>
  <c r="E566" i="20"/>
  <c r="E567" i="20"/>
  <c r="E568" i="20"/>
  <c r="E569" i="20"/>
  <c r="E570" i="20"/>
  <c r="E571" i="20"/>
  <c r="E572" i="20"/>
  <c r="E573" i="20"/>
  <c r="E574" i="20"/>
  <c r="E575" i="20"/>
  <c r="E576" i="20"/>
  <c r="E577" i="20"/>
  <c r="E578" i="20"/>
  <c r="E579" i="20"/>
  <c r="E580" i="20"/>
  <c r="E581" i="20"/>
  <c r="E582" i="20"/>
  <c r="E583" i="20"/>
  <c r="E584" i="20"/>
  <c r="E585" i="20"/>
  <c r="E586" i="20"/>
  <c r="E587" i="20"/>
  <c r="E588" i="20"/>
  <c r="E589" i="20"/>
  <c r="E590" i="20"/>
  <c r="E591" i="20"/>
  <c r="E592" i="20"/>
  <c r="E593" i="20"/>
  <c r="E594" i="20"/>
  <c r="E595" i="20"/>
  <c r="E596" i="20"/>
  <c r="E597" i="20"/>
  <c r="E598" i="20"/>
  <c r="E599" i="20"/>
  <c r="E600" i="20"/>
  <c r="E601" i="20"/>
  <c r="E602" i="20"/>
  <c r="E603" i="20"/>
  <c r="E604" i="20"/>
  <c r="E605" i="20"/>
  <c r="E606" i="20"/>
  <c r="E607" i="20"/>
  <c r="E608" i="20"/>
  <c r="E609" i="20"/>
  <c r="E610" i="20"/>
  <c r="E611" i="20"/>
  <c r="E612" i="20"/>
  <c r="E613" i="20"/>
  <c r="E614" i="20"/>
  <c r="E615" i="20"/>
  <c r="E616" i="20"/>
  <c r="E617" i="20"/>
  <c r="E618" i="20"/>
  <c r="E619" i="20"/>
  <c r="E620" i="20"/>
  <c r="E621" i="20"/>
  <c r="E622" i="20"/>
  <c r="E623" i="20"/>
  <c r="E624" i="20"/>
  <c r="E625" i="20"/>
  <c r="E626" i="20"/>
  <c r="E627" i="20"/>
  <c r="E628" i="20"/>
  <c r="E629" i="20"/>
  <c r="E630" i="20"/>
  <c r="E631" i="20"/>
  <c r="E632" i="20"/>
  <c r="E633" i="20"/>
  <c r="E634" i="20"/>
  <c r="E635" i="20"/>
  <c r="E636" i="20"/>
  <c r="E637" i="20"/>
  <c r="E638" i="20"/>
  <c r="E639" i="20"/>
  <c r="E640" i="20"/>
  <c r="E641" i="20"/>
  <c r="E642" i="20"/>
  <c r="E643" i="20"/>
  <c r="E644" i="20"/>
  <c r="E645" i="20"/>
  <c r="E646" i="20"/>
  <c r="E647" i="20"/>
  <c r="E648" i="20"/>
  <c r="E649" i="20"/>
  <c r="E650" i="20"/>
  <c r="E651" i="20"/>
  <c r="E652" i="20"/>
  <c r="E653" i="20"/>
  <c r="E654" i="20"/>
  <c r="E655" i="20"/>
  <c r="E656" i="20"/>
  <c r="E657" i="20"/>
  <c r="E658" i="20"/>
  <c r="E659" i="20"/>
  <c r="E660" i="20"/>
  <c r="E661" i="20"/>
  <c r="E662" i="20"/>
  <c r="E663" i="20"/>
  <c r="E664" i="20"/>
  <c r="E665" i="20"/>
  <c r="E666" i="20"/>
  <c r="E667" i="20"/>
  <c r="E668" i="20"/>
  <c r="E669" i="20"/>
  <c r="E670" i="20"/>
  <c r="E671" i="20"/>
  <c r="E672" i="20"/>
  <c r="E673" i="20"/>
  <c r="E674" i="20"/>
  <c r="E675" i="20"/>
  <c r="E676" i="20"/>
  <c r="E677" i="20"/>
  <c r="E678" i="20"/>
  <c r="E679" i="20"/>
  <c r="E680" i="20"/>
  <c r="E681" i="20"/>
  <c r="E682" i="20"/>
  <c r="E683" i="20"/>
  <c r="E684" i="20"/>
  <c r="E685" i="20"/>
  <c r="E686" i="20"/>
  <c r="E687" i="20"/>
  <c r="E688" i="20"/>
  <c r="E689" i="20"/>
  <c r="E690" i="20"/>
  <c r="E691" i="20"/>
  <c r="E692" i="20"/>
  <c r="E693" i="20"/>
  <c r="E694" i="20"/>
  <c r="E695" i="20"/>
  <c r="E696" i="20"/>
  <c r="E697" i="20"/>
  <c r="E698" i="20"/>
  <c r="E699" i="20"/>
  <c r="E700" i="20"/>
  <c r="E701" i="20"/>
  <c r="E702" i="20"/>
  <c r="E703" i="20"/>
  <c r="E704" i="20"/>
  <c r="E705" i="20"/>
  <c r="E706" i="20"/>
  <c r="E707" i="20"/>
  <c r="E708" i="20"/>
  <c r="E709" i="20"/>
  <c r="E710" i="20"/>
  <c r="E711" i="20"/>
  <c r="E712" i="20"/>
  <c r="E713" i="20"/>
  <c r="E714" i="20"/>
  <c r="E715" i="20"/>
  <c r="E716" i="20"/>
  <c r="E717" i="20"/>
  <c r="E718" i="20"/>
  <c r="E719" i="20"/>
  <c r="E720" i="20"/>
  <c r="E721" i="20"/>
  <c r="E722" i="20"/>
  <c r="E723" i="20"/>
  <c r="E724" i="20"/>
  <c r="E725" i="20"/>
  <c r="E726" i="20"/>
  <c r="E727" i="20"/>
  <c r="E728" i="20"/>
  <c r="E729" i="20"/>
  <c r="E730" i="20"/>
  <c r="E731" i="20"/>
  <c r="E732" i="20"/>
  <c r="E733" i="20"/>
  <c r="E734" i="20"/>
  <c r="E735" i="20"/>
  <c r="E736" i="20"/>
  <c r="E737" i="20"/>
  <c r="E738" i="20"/>
  <c r="E739" i="20"/>
  <c r="E740" i="20"/>
  <c r="E741" i="20"/>
  <c r="E742" i="20"/>
  <c r="E743" i="20"/>
  <c r="E744" i="20"/>
  <c r="E745" i="20"/>
  <c r="E746" i="20"/>
  <c r="E747" i="20"/>
  <c r="E748" i="20"/>
  <c r="E749" i="20"/>
  <c r="E750" i="20"/>
  <c r="E751" i="20"/>
  <c r="E752" i="20"/>
  <c r="E753" i="20"/>
  <c r="E754" i="20"/>
  <c r="E755" i="20"/>
  <c r="E756" i="20"/>
  <c r="E757" i="20"/>
  <c r="E758" i="20"/>
  <c r="E759" i="20"/>
  <c r="E760" i="20"/>
  <c r="E761" i="20"/>
  <c r="E762" i="20"/>
  <c r="E763" i="20"/>
  <c r="E764" i="20"/>
  <c r="E765" i="20"/>
  <c r="E766" i="20"/>
  <c r="E767" i="20"/>
  <c r="E768" i="20"/>
  <c r="E769" i="20"/>
  <c r="E770" i="20"/>
  <c r="E771" i="20"/>
  <c r="E772" i="20"/>
  <c r="E773" i="20"/>
  <c r="E774" i="20"/>
  <c r="E775" i="20"/>
  <c r="E776" i="20"/>
  <c r="E777" i="20"/>
  <c r="E778" i="20"/>
  <c r="E779" i="20"/>
  <c r="E780" i="20"/>
  <c r="E781" i="20"/>
  <c r="E782" i="20"/>
  <c r="E783" i="20"/>
  <c r="E784" i="20"/>
  <c r="E785" i="20"/>
  <c r="E786" i="20"/>
  <c r="E787" i="20"/>
  <c r="E788" i="20"/>
  <c r="E789" i="20"/>
  <c r="E790" i="20"/>
  <c r="E791" i="20"/>
  <c r="E792" i="20"/>
  <c r="E793" i="20"/>
  <c r="E794" i="20"/>
  <c r="E795" i="20"/>
  <c r="E796" i="20"/>
  <c r="E797" i="20"/>
  <c r="E798" i="20"/>
  <c r="E799" i="20"/>
  <c r="E800" i="20"/>
  <c r="E801" i="20"/>
  <c r="E802" i="20"/>
  <c r="E803" i="20"/>
  <c r="E804" i="20"/>
  <c r="E805" i="20"/>
  <c r="E806" i="20"/>
  <c r="E807" i="20"/>
  <c r="E808" i="20"/>
  <c r="E809" i="20"/>
  <c r="E810" i="20"/>
  <c r="E811" i="20"/>
  <c r="E812" i="20"/>
  <c r="E813" i="20"/>
  <c r="E814" i="20"/>
  <c r="E815" i="20"/>
  <c r="E816" i="20"/>
  <c r="E817" i="20"/>
  <c r="E818" i="20"/>
  <c r="E819" i="20"/>
  <c r="E820" i="20"/>
  <c r="E821" i="20"/>
  <c r="E822" i="20"/>
  <c r="E823" i="20"/>
  <c r="E824" i="20"/>
  <c r="E825" i="20"/>
  <c r="E826" i="20"/>
  <c r="E827" i="20"/>
  <c r="E828" i="20"/>
  <c r="E829" i="20"/>
  <c r="E830" i="20"/>
  <c r="E831" i="20"/>
  <c r="E832" i="20"/>
  <c r="E833" i="20"/>
  <c r="E834" i="20"/>
  <c r="E835" i="20"/>
  <c r="E836" i="20"/>
  <c r="E837" i="20"/>
  <c r="E838" i="20"/>
  <c r="E839" i="20"/>
  <c r="E840" i="20"/>
  <c r="E841" i="20"/>
  <c r="E842" i="20"/>
  <c r="E843" i="20"/>
  <c r="E844" i="20"/>
  <c r="AX1" i="2"/>
  <c r="AY110" i="2" s="1"/>
  <c r="AJ110" i="2"/>
  <c r="AJ109" i="2"/>
  <c r="AJ108" i="2"/>
  <c r="AJ107" i="2"/>
  <c r="AJ106" i="2"/>
  <c r="AJ105" i="2"/>
  <c r="AJ104" i="2"/>
  <c r="AJ103" i="2"/>
  <c r="AJ102" i="2"/>
  <c r="AJ101" i="2"/>
  <c r="AJ100" i="2"/>
  <c r="AJ98" i="2"/>
  <c r="AJ97" i="2"/>
  <c r="AJ96" i="2"/>
  <c r="AJ95" i="2"/>
  <c r="AJ94" i="2"/>
  <c r="AJ93" i="2"/>
  <c r="AJ92" i="2"/>
  <c r="AJ91" i="2"/>
  <c r="AJ90" i="2"/>
  <c r="AJ89" i="2"/>
  <c r="AJ88" i="2"/>
  <c r="AJ86" i="2"/>
  <c r="AJ85" i="2"/>
  <c r="AJ84" i="2"/>
  <c r="AJ83" i="2"/>
  <c r="AJ82" i="2"/>
  <c r="AJ81" i="2"/>
  <c r="AJ80" i="2"/>
  <c r="AJ79" i="2"/>
  <c r="AJ78" i="2"/>
  <c r="AJ77" i="2"/>
  <c r="AJ76" i="2"/>
  <c r="AJ74" i="2"/>
  <c r="AJ73" i="2"/>
  <c r="AJ72" i="2"/>
  <c r="AJ71" i="2"/>
  <c r="AJ70" i="2"/>
  <c r="AJ69" i="2"/>
  <c r="AJ68" i="2"/>
  <c r="AJ67" i="2"/>
  <c r="AJ66" i="2"/>
  <c r="AJ65" i="2"/>
  <c r="AJ64" i="2"/>
  <c r="AJ61" i="2"/>
  <c r="AJ60" i="2"/>
  <c r="AJ59" i="2"/>
  <c r="AJ58" i="2"/>
  <c r="AJ57" i="2"/>
  <c r="AJ56" i="2"/>
  <c r="AJ55" i="2"/>
  <c r="AJ54" i="2"/>
  <c r="AJ53" i="2"/>
  <c r="AJ52" i="2"/>
  <c r="AJ62" i="2"/>
  <c r="AJ40" i="2"/>
  <c r="AJ41" i="2"/>
  <c r="AJ42" i="2"/>
  <c r="AJ43" i="2"/>
  <c r="AJ44" i="2"/>
  <c r="AJ45" i="2"/>
  <c r="AJ46" i="2"/>
  <c r="AJ47" i="2"/>
  <c r="AJ48" i="2"/>
  <c r="AJ49" i="2"/>
  <c r="AJ50" i="2"/>
  <c r="AJ99" i="2"/>
  <c r="AJ87" i="2"/>
  <c r="AJ75" i="2"/>
  <c r="AJ63" i="2"/>
  <c r="AJ51" i="2"/>
  <c r="AJ39" i="2"/>
  <c r="N25" i="29"/>
  <c r="M21" i="29"/>
  <c r="M20" i="29"/>
  <c r="M19" i="29"/>
  <c r="M18" i="29"/>
  <c r="M15" i="29"/>
  <c r="M14" i="29"/>
  <c r="AY72" i="2" l="1"/>
  <c r="AZ47" i="2"/>
  <c r="AY104" i="2"/>
  <c r="AZ63" i="2"/>
  <c r="AY8" i="2"/>
  <c r="AZ15" i="2"/>
  <c r="AZ79" i="2"/>
  <c r="AY40" i="2"/>
  <c r="AZ31" i="2"/>
  <c r="AZ95" i="2"/>
  <c r="AY16" i="2"/>
  <c r="AY48" i="2"/>
  <c r="AY80" i="2"/>
  <c r="AZ3" i="2"/>
  <c r="AZ19" i="2"/>
  <c r="AZ35" i="2"/>
  <c r="AZ51" i="2"/>
  <c r="AZ67" i="2"/>
  <c r="AZ83" i="2"/>
  <c r="AZ99" i="2"/>
  <c r="AY24" i="2"/>
  <c r="AY56" i="2"/>
  <c r="AY88" i="2"/>
  <c r="AZ7" i="2"/>
  <c r="AZ23" i="2"/>
  <c r="AZ39" i="2"/>
  <c r="AZ55" i="2"/>
  <c r="AZ71" i="2"/>
  <c r="AZ87" i="2"/>
  <c r="AZ103" i="2"/>
  <c r="AY32" i="2"/>
  <c r="AY64" i="2"/>
  <c r="AY96" i="2"/>
  <c r="AZ11" i="2"/>
  <c r="AZ27" i="2"/>
  <c r="AZ43" i="2"/>
  <c r="AZ59" i="2"/>
  <c r="AZ75" i="2"/>
  <c r="AZ91" i="2"/>
  <c r="AZ107" i="2"/>
  <c r="AY11" i="2"/>
  <c r="AY19" i="2"/>
  <c r="AY27" i="2"/>
  <c r="AY35" i="2"/>
  <c r="AY43" i="2"/>
  <c r="AY51" i="2"/>
  <c r="AY59" i="2"/>
  <c r="AY67" i="2"/>
  <c r="AY75" i="2"/>
  <c r="AY83" i="2"/>
  <c r="AY91" i="2"/>
  <c r="AY99" i="2"/>
  <c r="AY107" i="2"/>
  <c r="AZ4" i="2"/>
  <c r="AZ8" i="2"/>
  <c r="AZ12" i="2"/>
  <c r="AZ16" i="2"/>
  <c r="AZ20" i="2"/>
  <c r="AZ24" i="2"/>
  <c r="AZ28" i="2"/>
  <c r="AZ32" i="2"/>
  <c r="AZ36" i="2"/>
  <c r="AZ40" i="2"/>
  <c r="AZ44" i="2"/>
  <c r="AZ48" i="2"/>
  <c r="AZ52" i="2"/>
  <c r="AZ56" i="2"/>
  <c r="AZ60" i="2"/>
  <c r="AZ64" i="2"/>
  <c r="AZ68" i="2"/>
  <c r="AZ72" i="2"/>
  <c r="AZ76" i="2"/>
  <c r="AZ80" i="2"/>
  <c r="AZ84" i="2"/>
  <c r="AZ88" i="2"/>
  <c r="AZ92" i="2"/>
  <c r="AZ96" i="2"/>
  <c r="AZ100" i="2"/>
  <c r="AZ104" i="2"/>
  <c r="AZ108" i="2"/>
  <c r="AY4" i="2"/>
  <c r="AY12" i="2"/>
  <c r="AY20" i="2"/>
  <c r="AY28" i="2"/>
  <c r="AY36" i="2"/>
  <c r="AY44" i="2"/>
  <c r="AY52" i="2"/>
  <c r="AY60" i="2"/>
  <c r="AY68" i="2"/>
  <c r="AY76" i="2"/>
  <c r="AY84" i="2"/>
  <c r="AY92" i="2"/>
  <c r="AY100" i="2"/>
  <c r="AY108" i="2"/>
  <c r="AZ5" i="2"/>
  <c r="AZ9" i="2"/>
  <c r="AZ13" i="2"/>
  <c r="AZ17" i="2"/>
  <c r="AZ21" i="2"/>
  <c r="AZ25" i="2"/>
  <c r="AZ29" i="2"/>
  <c r="AZ33" i="2"/>
  <c r="AZ37" i="2"/>
  <c r="AZ41" i="2"/>
  <c r="AZ45" i="2"/>
  <c r="AZ49" i="2"/>
  <c r="AZ53" i="2"/>
  <c r="AZ57" i="2"/>
  <c r="AZ61" i="2"/>
  <c r="AZ65" i="2"/>
  <c r="AZ69" i="2"/>
  <c r="AZ73" i="2"/>
  <c r="AZ77" i="2"/>
  <c r="AZ81" i="2"/>
  <c r="AZ85" i="2"/>
  <c r="AZ89" i="2"/>
  <c r="AZ93" i="2"/>
  <c r="AZ97" i="2"/>
  <c r="AZ101" i="2"/>
  <c r="AZ105" i="2"/>
  <c r="AZ109" i="2"/>
  <c r="AY7" i="2"/>
  <c r="AY15" i="2"/>
  <c r="AY23" i="2"/>
  <c r="AY31" i="2"/>
  <c r="AY39" i="2"/>
  <c r="AY47" i="2"/>
  <c r="AY55" i="2"/>
  <c r="AY63" i="2"/>
  <c r="AY71" i="2"/>
  <c r="AY79" i="2"/>
  <c r="AY87" i="2"/>
  <c r="AY95" i="2"/>
  <c r="AY103" i="2"/>
  <c r="AY3" i="2"/>
  <c r="AZ6" i="2"/>
  <c r="AZ10" i="2"/>
  <c r="AZ14" i="2"/>
  <c r="AZ18" i="2"/>
  <c r="AZ22" i="2"/>
  <c r="AZ26" i="2"/>
  <c r="AZ30" i="2"/>
  <c r="AZ34" i="2"/>
  <c r="AZ38" i="2"/>
  <c r="AZ42" i="2"/>
  <c r="AZ46" i="2"/>
  <c r="AZ50" i="2"/>
  <c r="AZ54" i="2"/>
  <c r="AZ58" i="2"/>
  <c r="AZ62" i="2"/>
  <c r="AZ66" i="2"/>
  <c r="AZ70" i="2"/>
  <c r="AZ74" i="2"/>
  <c r="AZ78" i="2"/>
  <c r="AZ82" i="2"/>
  <c r="AZ86" i="2"/>
  <c r="AZ90" i="2"/>
  <c r="AZ94" i="2"/>
  <c r="AZ98" i="2"/>
  <c r="AZ102" i="2"/>
  <c r="AZ106" i="2"/>
  <c r="AZ110" i="2"/>
  <c r="AY5" i="2"/>
  <c r="AY9" i="2"/>
  <c r="AY13" i="2"/>
  <c r="AY17" i="2"/>
  <c r="AY21" i="2"/>
  <c r="AY25" i="2"/>
  <c r="AY29" i="2"/>
  <c r="AY33" i="2"/>
  <c r="AY37" i="2"/>
  <c r="AY41" i="2"/>
  <c r="AY45" i="2"/>
  <c r="AY49" i="2"/>
  <c r="AY53" i="2"/>
  <c r="AY57" i="2"/>
  <c r="AY61" i="2"/>
  <c r="AY65" i="2"/>
  <c r="AY69" i="2"/>
  <c r="AY73" i="2"/>
  <c r="AY77" i="2"/>
  <c r="AY81" i="2"/>
  <c r="AY85" i="2"/>
  <c r="AY89" i="2"/>
  <c r="AY93" i="2"/>
  <c r="AY97" i="2"/>
  <c r="AY101" i="2"/>
  <c r="AY105" i="2"/>
  <c r="AY109" i="2"/>
  <c r="AX3" i="2"/>
  <c r="AY6" i="2"/>
  <c r="AY10" i="2"/>
  <c r="AY14" i="2"/>
  <c r="AY18" i="2"/>
  <c r="AY22" i="2"/>
  <c r="AY26" i="2"/>
  <c r="AY30" i="2"/>
  <c r="AY34" i="2"/>
  <c r="AY38" i="2"/>
  <c r="AY42" i="2"/>
  <c r="AY46" i="2"/>
  <c r="AY50" i="2"/>
  <c r="AY54" i="2"/>
  <c r="AY58" i="2"/>
  <c r="AY62" i="2"/>
  <c r="AY66" i="2"/>
  <c r="AY70" i="2"/>
  <c r="AY74" i="2"/>
  <c r="AY78" i="2"/>
  <c r="AY82" i="2"/>
  <c r="AY86" i="2"/>
  <c r="AY90" i="2"/>
  <c r="AY94" i="2"/>
  <c r="AY98" i="2"/>
  <c r="AY102" i="2"/>
  <c r="AY106" i="2"/>
  <c r="G10" i="20"/>
  <c r="G4" i="20"/>
  <c r="G5" i="20"/>
  <c r="G6" i="20"/>
  <c r="G7" i="20"/>
  <c r="G8" i="20"/>
  <c r="G9" i="20"/>
  <c r="G11" i="20"/>
  <c r="G12" i="20"/>
  <c r="G13" i="20"/>
  <c r="G14" i="20"/>
  <c r="G15" i="20"/>
  <c r="G3"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G45" i="20"/>
  <c r="G46" i="20"/>
  <c r="G47" i="20"/>
  <c r="G48" i="20"/>
  <c r="G49" i="20"/>
  <c r="G50" i="20"/>
  <c r="G51" i="20"/>
  <c r="G52" i="20"/>
  <c r="G53" i="20"/>
  <c r="G54" i="20"/>
  <c r="G55" i="20"/>
  <c r="G56" i="20"/>
  <c r="G57" i="20"/>
  <c r="G58" i="20"/>
  <c r="G59" i="20"/>
  <c r="G60" i="20"/>
  <c r="G61" i="20"/>
  <c r="G62" i="20"/>
  <c r="G63" i="20"/>
  <c r="G64" i="20"/>
  <c r="G65" i="20"/>
  <c r="G66" i="20"/>
  <c r="G67" i="20"/>
  <c r="G68" i="20"/>
  <c r="G69" i="20"/>
  <c r="G70" i="20"/>
  <c r="G71" i="20"/>
  <c r="G72" i="20"/>
  <c r="G73" i="20"/>
  <c r="G74" i="20"/>
  <c r="G75" i="20"/>
  <c r="G76" i="20"/>
  <c r="G77" i="20"/>
  <c r="G78" i="20"/>
  <c r="G79" i="20"/>
  <c r="G80" i="20"/>
  <c r="G81" i="20"/>
  <c r="G82" i="20"/>
  <c r="G83" i="20"/>
  <c r="G84" i="20"/>
  <c r="G85" i="20"/>
  <c r="G86" i="20"/>
  <c r="G87" i="20"/>
  <c r="G88" i="20"/>
  <c r="G89" i="20"/>
  <c r="G90" i="20"/>
  <c r="G91" i="20"/>
  <c r="G92" i="20"/>
  <c r="G93" i="20"/>
  <c r="G94" i="20"/>
  <c r="G95" i="20"/>
  <c r="G96" i="20"/>
  <c r="G97" i="20"/>
  <c r="G98" i="20"/>
  <c r="G99" i="20"/>
  <c r="G100" i="20"/>
  <c r="G101" i="20"/>
  <c r="G102" i="20"/>
  <c r="G103" i="20"/>
  <c r="G104" i="20"/>
  <c r="G105" i="20"/>
  <c r="G106" i="20"/>
  <c r="G107" i="20"/>
  <c r="G108" i="20"/>
  <c r="G109" i="20"/>
  <c r="G110" i="20"/>
  <c r="G111" i="20"/>
  <c r="G112" i="20"/>
  <c r="G113" i="20"/>
  <c r="G114" i="20"/>
  <c r="G115" i="20"/>
  <c r="G116" i="20"/>
  <c r="G117" i="20"/>
  <c r="G118" i="20"/>
  <c r="G119" i="20"/>
  <c r="G120" i="20"/>
  <c r="G121" i="20"/>
  <c r="G122" i="20"/>
  <c r="G123" i="20"/>
  <c r="G124" i="20"/>
  <c r="G125" i="20"/>
  <c r="G126" i="20"/>
  <c r="G127" i="20"/>
  <c r="G128" i="20"/>
  <c r="G129" i="20"/>
  <c r="G130" i="20"/>
  <c r="G131" i="20"/>
  <c r="G132" i="20"/>
  <c r="G133" i="20"/>
  <c r="G134" i="20"/>
  <c r="G135" i="20"/>
  <c r="G136" i="20"/>
  <c r="G137" i="20"/>
  <c r="G138" i="20"/>
  <c r="G139" i="20"/>
  <c r="G140" i="20"/>
  <c r="G141" i="20"/>
  <c r="G142" i="20"/>
  <c r="G143" i="20"/>
  <c r="G144" i="20"/>
  <c r="G145" i="20"/>
  <c r="G146" i="20"/>
  <c r="G147" i="20"/>
  <c r="G148" i="20"/>
  <c r="G149" i="20"/>
  <c r="G150" i="20"/>
  <c r="G151" i="20"/>
  <c r="G152" i="20"/>
  <c r="G153" i="20"/>
  <c r="G154" i="20"/>
  <c r="G155" i="20"/>
  <c r="G156" i="20"/>
  <c r="G157" i="20"/>
  <c r="G158" i="20"/>
  <c r="G159" i="20"/>
  <c r="G160" i="20"/>
  <c r="G161" i="20"/>
  <c r="G162" i="20"/>
  <c r="G163" i="20"/>
  <c r="G164" i="20"/>
  <c r="G165" i="20"/>
  <c r="G166" i="20"/>
  <c r="G167" i="20"/>
  <c r="G168" i="20"/>
  <c r="G169" i="20"/>
  <c r="G170" i="20"/>
  <c r="G171" i="20"/>
  <c r="G172" i="20"/>
  <c r="G173" i="20"/>
  <c r="G174" i="20"/>
  <c r="G175" i="20"/>
  <c r="G176" i="20"/>
  <c r="G177" i="20"/>
  <c r="G178" i="20"/>
  <c r="G179" i="20"/>
  <c r="G180" i="20"/>
  <c r="G181" i="20"/>
  <c r="G182" i="20"/>
  <c r="G183" i="20"/>
  <c r="G184" i="20"/>
  <c r="G185" i="20"/>
  <c r="G186" i="20"/>
  <c r="G187" i="20"/>
  <c r="G188" i="20"/>
  <c r="G189" i="20"/>
  <c r="G190" i="20"/>
  <c r="G191" i="20"/>
  <c r="G192" i="20"/>
  <c r="G193" i="20"/>
  <c r="G194" i="20"/>
  <c r="G195" i="20"/>
  <c r="G196" i="20"/>
  <c r="G197" i="20"/>
  <c r="G198" i="20"/>
  <c r="G199" i="20"/>
  <c r="G200" i="20"/>
  <c r="G201" i="20"/>
  <c r="G202" i="20"/>
  <c r="G203" i="20"/>
  <c r="G204" i="20"/>
  <c r="G205" i="20"/>
  <c r="G206" i="20"/>
  <c r="G207" i="20"/>
  <c r="G208" i="20"/>
  <c r="G209" i="20"/>
  <c r="G210" i="20"/>
  <c r="G211" i="20"/>
  <c r="G212" i="20"/>
  <c r="G213" i="20"/>
  <c r="G214" i="20"/>
  <c r="G215" i="20"/>
  <c r="G216" i="20"/>
  <c r="G217" i="20"/>
  <c r="G218" i="20"/>
  <c r="G219" i="20"/>
  <c r="G220" i="20"/>
  <c r="G221" i="20"/>
  <c r="G222" i="20"/>
  <c r="G223" i="20"/>
  <c r="G224" i="20"/>
  <c r="G225" i="20"/>
  <c r="G226" i="20"/>
  <c r="G227" i="20"/>
  <c r="G228" i="20"/>
  <c r="G229" i="20"/>
  <c r="G230" i="20"/>
  <c r="G231" i="20"/>
  <c r="G232" i="20"/>
  <c r="G233" i="20"/>
  <c r="G234" i="20"/>
  <c r="G235" i="20"/>
  <c r="G236" i="20"/>
  <c r="G237" i="20"/>
  <c r="G238" i="20"/>
  <c r="G239" i="20"/>
  <c r="G240" i="20"/>
  <c r="G241" i="20"/>
  <c r="G242" i="20"/>
  <c r="G243" i="20"/>
  <c r="G244" i="20"/>
  <c r="G245" i="20"/>
  <c r="G246" i="20"/>
  <c r="G247" i="20"/>
  <c r="G248" i="20"/>
  <c r="G249" i="20"/>
  <c r="G250" i="20"/>
  <c r="G251" i="20"/>
  <c r="G252" i="20"/>
  <c r="G253" i="20"/>
  <c r="G254" i="20"/>
  <c r="G255" i="20"/>
  <c r="G256" i="20"/>
  <c r="G257" i="20"/>
  <c r="G258" i="20"/>
  <c r="G259" i="20"/>
  <c r="G260" i="20"/>
  <c r="G261" i="20"/>
  <c r="G262" i="20"/>
  <c r="G263" i="20"/>
  <c r="G264" i="20"/>
  <c r="G265" i="20"/>
  <c r="G266" i="20"/>
  <c r="G267" i="20"/>
  <c r="G268" i="20"/>
  <c r="G269" i="20"/>
  <c r="G270" i="20"/>
  <c r="G271" i="20"/>
  <c r="G272" i="20"/>
  <c r="G273" i="20"/>
  <c r="G274" i="20"/>
  <c r="G275" i="20"/>
  <c r="G276" i="20"/>
  <c r="G277" i="20"/>
  <c r="G278" i="20"/>
  <c r="G279" i="20"/>
  <c r="G280" i="20"/>
  <c r="G281" i="20"/>
  <c r="G282" i="20"/>
  <c r="G285" i="20"/>
  <c r="G286" i="20"/>
  <c r="G287" i="20"/>
  <c r="G288" i="20"/>
  <c r="G289" i="20"/>
  <c r="G290" i="20"/>
  <c r="G291" i="20"/>
  <c r="G292" i="20"/>
  <c r="G293" i="20"/>
  <c r="G294" i="20"/>
  <c r="G295" i="20"/>
  <c r="G296" i="20"/>
  <c r="G297" i="20"/>
  <c r="G298" i="20"/>
  <c r="G299" i="20"/>
  <c r="G300" i="20"/>
  <c r="G301" i="20"/>
  <c r="G302" i="20"/>
  <c r="G303" i="20"/>
  <c r="G307" i="20"/>
  <c r="G308" i="20"/>
  <c r="G312" i="20"/>
  <c r="G313" i="20"/>
  <c r="G317" i="20"/>
  <c r="G318" i="20"/>
  <c r="G319" i="20"/>
  <c r="G323" i="20"/>
  <c r="G324" i="20"/>
  <c r="G325" i="20"/>
  <c r="G326" i="20"/>
  <c r="G330" i="20"/>
  <c r="G331" i="20"/>
  <c r="G332" i="20"/>
  <c r="G336" i="20"/>
  <c r="G337" i="20"/>
  <c r="G341" i="20"/>
  <c r="G342" i="20"/>
  <c r="G346" i="20"/>
  <c r="G347" i="20"/>
  <c r="G348" i="20"/>
  <c r="G349" i="20"/>
  <c r="G350" i="20"/>
  <c r="G351" i="20"/>
  <c r="G352" i="20"/>
  <c r="G353" i="20"/>
  <c r="G354" i="20"/>
  <c r="G355" i="20"/>
  <c r="G356" i="20"/>
  <c r="G357" i="20"/>
  <c r="G358" i="20"/>
  <c r="G359" i="20"/>
  <c r="G360" i="20"/>
  <c r="G361" i="20"/>
  <c r="G362" i="20"/>
  <c r="G363" i="20"/>
  <c r="G364" i="20"/>
  <c r="G365" i="20"/>
  <c r="G366" i="20"/>
  <c r="G367" i="20"/>
  <c r="G368" i="20"/>
  <c r="G369" i="20"/>
  <c r="G370" i="20"/>
  <c r="G371" i="20"/>
  <c r="G372" i="20"/>
  <c r="G373" i="20"/>
  <c r="G374" i="20"/>
  <c r="G375" i="20"/>
  <c r="G376" i="20"/>
  <c r="G377" i="20"/>
  <c r="G378" i="20"/>
  <c r="G379" i="20"/>
  <c r="G380" i="20"/>
  <c r="G381" i="20"/>
  <c r="G382" i="20"/>
  <c r="G383" i="20"/>
  <c r="G384" i="20"/>
  <c r="G385" i="20"/>
  <c r="G386" i="20"/>
  <c r="G387" i="20"/>
  <c r="G388" i="20"/>
  <c r="G389" i="20"/>
  <c r="G390" i="20"/>
  <c r="G391" i="20"/>
  <c r="G392" i="20"/>
  <c r="G393" i="20"/>
  <c r="G394" i="20"/>
  <c r="G395" i="20"/>
  <c r="G396" i="20"/>
  <c r="G397" i="20"/>
  <c r="G398" i="20"/>
  <c r="G399" i="20"/>
  <c r="G400" i="20"/>
  <c r="G401" i="20"/>
  <c r="G402" i="20"/>
  <c r="G403" i="20"/>
  <c r="G404" i="20"/>
  <c r="G405" i="20"/>
  <c r="G406" i="20"/>
  <c r="G407" i="20"/>
  <c r="G408" i="20"/>
  <c r="G409" i="20"/>
  <c r="G410" i="20"/>
  <c r="G411" i="20"/>
  <c r="G412" i="20"/>
  <c r="G413" i="20"/>
  <c r="G414" i="20"/>
  <c r="G415" i="20"/>
  <c r="G416" i="20"/>
  <c r="G417" i="20"/>
  <c r="G418" i="20"/>
  <c r="G419" i="20"/>
  <c r="G420" i="20"/>
  <c r="G421" i="20"/>
  <c r="G422" i="20"/>
  <c r="G423" i="20"/>
  <c r="G424" i="20"/>
  <c r="G425" i="20"/>
  <c r="G426" i="20"/>
  <c r="G427" i="20"/>
  <c r="G428" i="20"/>
  <c r="G429" i="20"/>
  <c r="G430" i="20"/>
  <c r="G431" i="20"/>
  <c r="G432" i="20"/>
  <c r="G433" i="20"/>
  <c r="G434" i="20"/>
  <c r="G435" i="20"/>
  <c r="G436" i="20"/>
  <c r="G437" i="20"/>
  <c r="G438" i="20"/>
  <c r="G439" i="20"/>
  <c r="G440" i="20"/>
  <c r="G441" i="20"/>
  <c r="G442" i="20"/>
  <c r="G443" i="20"/>
  <c r="G444" i="20"/>
  <c r="G445" i="20"/>
  <c r="G446" i="20"/>
  <c r="G447" i="20"/>
  <c r="G448" i="20"/>
  <c r="G449" i="20"/>
  <c r="G450" i="20"/>
  <c r="G451" i="20"/>
  <c r="G452" i="20"/>
  <c r="G453" i="20"/>
  <c r="G454" i="20"/>
  <c r="G455" i="20"/>
  <c r="G456" i="20"/>
  <c r="G458" i="20"/>
  <c r="G459" i="20"/>
  <c r="G460" i="20"/>
  <c r="G461" i="20"/>
  <c r="G462" i="20"/>
  <c r="G463" i="20"/>
  <c r="G464" i="20"/>
  <c r="G465" i="20"/>
  <c r="G466" i="20"/>
  <c r="G467" i="20"/>
  <c r="G468" i="20"/>
  <c r="G469" i="20"/>
  <c r="G470" i="20"/>
  <c r="G471" i="20"/>
  <c r="G472" i="20"/>
  <c r="G473" i="20"/>
  <c r="G474" i="20"/>
  <c r="G475" i="20"/>
  <c r="G476" i="20"/>
  <c r="G477" i="20"/>
  <c r="G478" i="20"/>
  <c r="G479" i="20"/>
  <c r="G480" i="20"/>
  <c r="G481" i="20"/>
  <c r="G482" i="20"/>
  <c r="G483" i="20"/>
  <c r="G484" i="20"/>
  <c r="G485" i="20"/>
  <c r="G486" i="20"/>
  <c r="G487" i="20"/>
  <c r="G488" i="20"/>
  <c r="G489" i="20"/>
  <c r="G490" i="20"/>
  <c r="G491" i="20"/>
  <c r="G492" i="20"/>
  <c r="G493" i="20"/>
  <c r="G494" i="20"/>
  <c r="G495" i="20"/>
  <c r="G496" i="20"/>
  <c r="G497" i="20"/>
  <c r="G498" i="20"/>
  <c r="G499" i="20"/>
  <c r="G500" i="20"/>
  <c r="G501" i="20"/>
  <c r="G502" i="20"/>
  <c r="G503" i="20"/>
  <c r="G504" i="20"/>
  <c r="G505" i="20"/>
  <c r="G506" i="20"/>
  <c r="G507" i="20"/>
  <c r="G508" i="20"/>
  <c r="G509" i="20"/>
  <c r="G510" i="20"/>
  <c r="G511" i="20"/>
  <c r="G512" i="20"/>
  <c r="G513" i="20"/>
  <c r="G514" i="20"/>
  <c r="G515" i="20"/>
  <c r="G516" i="20"/>
  <c r="G517" i="20"/>
  <c r="G518" i="20"/>
  <c r="G519" i="20"/>
  <c r="G520" i="20"/>
  <c r="G521" i="20"/>
  <c r="G522" i="20"/>
  <c r="G523" i="20"/>
  <c r="G524" i="20"/>
  <c r="G525" i="20"/>
  <c r="G526" i="20"/>
  <c r="G527" i="20"/>
  <c r="G528" i="20"/>
  <c r="G529" i="20"/>
  <c r="G530" i="20"/>
  <c r="G531" i="20"/>
  <c r="G532" i="20"/>
  <c r="G533" i="20"/>
  <c r="G534" i="20"/>
  <c r="G535" i="20"/>
  <c r="G536" i="20"/>
  <c r="G537" i="20"/>
  <c r="G538" i="20"/>
  <c r="G539" i="20"/>
  <c r="G540" i="20"/>
  <c r="G541" i="20"/>
  <c r="G542" i="20"/>
  <c r="G543" i="20"/>
  <c r="G544" i="20"/>
  <c r="G545" i="20"/>
  <c r="G546" i="20"/>
  <c r="G547" i="20"/>
  <c r="G548" i="20"/>
  <c r="G549" i="20"/>
  <c r="G550" i="20"/>
  <c r="G551" i="20"/>
  <c r="G552" i="20"/>
  <c r="G553" i="20"/>
  <c r="G554" i="20"/>
  <c r="G555" i="20"/>
  <c r="G556" i="20"/>
  <c r="G557" i="20"/>
  <c r="G558" i="20"/>
  <c r="G559" i="20"/>
  <c r="G560" i="20"/>
  <c r="G561" i="20"/>
  <c r="G562" i="20"/>
  <c r="G565" i="20"/>
  <c r="G566" i="20"/>
  <c r="G567" i="20"/>
  <c r="G568" i="20"/>
  <c r="G569" i="20"/>
  <c r="G570" i="20"/>
  <c r="G571" i="20"/>
  <c r="G572" i="20"/>
  <c r="G573" i="20"/>
  <c r="G574" i="20"/>
  <c r="G575" i="20"/>
  <c r="G576" i="20"/>
  <c r="G580" i="20"/>
  <c r="G581" i="20"/>
  <c r="G582" i="20"/>
  <c r="G583" i="20"/>
  <c r="G587" i="20"/>
  <c r="G588" i="20"/>
  <c r="G592" i="20"/>
  <c r="G593" i="20"/>
  <c r="G594" i="20"/>
  <c r="G598" i="20"/>
  <c r="G599" i="20"/>
  <c r="G600" i="20"/>
  <c r="G604" i="20"/>
  <c r="G605" i="20"/>
  <c r="G606" i="20"/>
  <c r="G607" i="20"/>
  <c r="G611" i="20"/>
  <c r="G612" i="20"/>
  <c r="G613" i="20"/>
  <c r="G617" i="20"/>
  <c r="G618" i="20"/>
  <c r="G622" i="20"/>
  <c r="G623" i="20"/>
  <c r="G627" i="20"/>
  <c r="G628" i="20"/>
  <c r="G629" i="20"/>
  <c r="G630" i="20"/>
  <c r="G634" i="20"/>
  <c r="G635" i="20"/>
  <c r="G636" i="20"/>
  <c r="G640" i="20"/>
  <c r="G641" i="20"/>
  <c r="G642" i="20"/>
  <c r="G643" i="20"/>
  <c r="G644" i="20"/>
  <c r="G645" i="20"/>
  <c r="G646" i="20"/>
  <c r="G647" i="20"/>
  <c r="G648" i="20"/>
  <c r="G649" i="20"/>
  <c r="G650" i="20"/>
  <c r="G651" i="20"/>
  <c r="G652" i="20"/>
  <c r="G653" i="20"/>
  <c r="G654" i="20"/>
  <c r="G655" i="20"/>
  <c r="G656" i="20"/>
  <c r="G657" i="20"/>
  <c r="G658" i="20"/>
  <c r="G659" i="20"/>
  <c r="G660" i="20"/>
  <c r="G661" i="20"/>
  <c r="G662" i="20"/>
  <c r="G663" i="20"/>
  <c r="G664" i="20"/>
  <c r="G665" i="20"/>
  <c r="G666" i="20"/>
  <c r="G667" i="20"/>
  <c r="G668" i="20"/>
  <c r="G669" i="20"/>
  <c r="G670" i="20"/>
  <c r="G671" i="20"/>
  <c r="G672" i="20"/>
  <c r="G673" i="20"/>
  <c r="G674" i="20"/>
  <c r="G675" i="20"/>
  <c r="G676" i="20"/>
  <c r="G677" i="20"/>
  <c r="G678" i="20"/>
  <c r="G679" i="20"/>
  <c r="G680" i="20"/>
  <c r="G681" i="20"/>
  <c r="G682" i="20"/>
  <c r="G683" i="20"/>
  <c r="G684" i="20"/>
  <c r="G685" i="20"/>
  <c r="G686" i="20"/>
  <c r="G687" i="20"/>
  <c r="G688" i="20"/>
  <c r="G689" i="20"/>
  <c r="G690" i="20"/>
  <c r="G691" i="20"/>
  <c r="G692" i="20"/>
  <c r="G693" i="20"/>
  <c r="G694" i="20"/>
  <c r="G695" i="20"/>
  <c r="G696" i="20"/>
  <c r="G697" i="20"/>
  <c r="G698" i="20"/>
  <c r="G699" i="20"/>
  <c r="G700" i="20"/>
  <c r="G701" i="20"/>
  <c r="G702" i="20"/>
  <c r="G703" i="20"/>
  <c r="G704" i="20"/>
  <c r="G705" i="20"/>
  <c r="G706" i="20"/>
  <c r="G707" i="20"/>
  <c r="G708" i="20"/>
  <c r="G709" i="20"/>
  <c r="G710" i="20"/>
  <c r="G711" i="20"/>
  <c r="G712" i="20"/>
  <c r="G713" i="20"/>
  <c r="G714" i="20"/>
  <c r="G715" i="20"/>
  <c r="G716" i="20"/>
  <c r="G717" i="20"/>
  <c r="G718" i="20"/>
  <c r="G719" i="20"/>
  <c r="G720" i="20"/>
  <c r="G721" i="20"/>
  <c r="G722" i="20"/>
  <c r="G723" i="20"/>
  <c r="G724" i="20"/>
  <c r="G725" i="20"/>
  <c r="G726" i="20"/>
  <c r="G727" i="20"/>
  <c r="G728" i="20"/>
  <c r="G729" i="20"/>
  <c r="G730" i="20"/>
  <c r="G731" i="20"/>
  <c r="G732" i="20"/>
  <c r="G733" i="20"/>
  <c r="G734" i="20"/>
  <c r="G735" i="20"/>
  <c r="G736" i="20"/>
  <c r="G737" i="20"/>
  <c r="G738" i="20"/>
  <c r="G739" i="20"/>
  <c r="G740" i="20"/>
  <c r="G741" i="20"/>
  <c r="G742" i="20"/>
  <c r="G743" i="20"/>
  <c r="G744" i="20"/>
  <c r="G745" i="20"/>
  <c r="G746" i="20"/>
  <c r="G747" i="20"/>
  <c r="G748" i="20"/>
  <c r="G749" i="20"/>
  <c r="G750" i="20"/>
  <c r="G751" i="20"/>
  <c r="G752" i="20"/>
  <c r="G753" i="20"/>
  <c r="G754" i="20"/>
  <c r="G755" i="20"/>
  <c r="G756" i="20"/>
  <c r="G757" i="20"/>
  <c r="G758" i="20"/>
  <c r="G759" i="20"/>
  <c r="G760" i="20"/>
  <c r="G761" i="20"/>
  <c r="G762" i="20"/>
  <c r="G763" i="20"/>
  <c r="G764" i="20"/>
  <c r="G765" i="20"/>
  <c r="G766" i="20"/>
  <c r="G767" i="20"/>
  <c r="G768" i="20"/>
  <c r="G769" i="20"/>
  <c r="G770" i="20"/>
  <c r="G771" i="20"/>
  <c r="G772" i="20"/>
  <c r="G773" i="20"/>
  <c r="G774" i="20"/>
  <c r="G775" i="20"/>
  <c r="G777" i="20"/>
  <c r="G778" i="20"/>
  <c r="G779" i="20"/>
  <c r="G780" i="20"/>
  <c r="G781" i="20"/>
  <c r="G782" i="20"/>
  <c r="G783" i="20"/>
  <c r="G784" i="20"/>
  <c r="G785" i="20"/>
  <c r="G786" i="20"/>
  <c r="G787" i="20"/>
  <c r="G788" i="20"/>
  <c r="G789" i="20"/>
  <c r="G790" i="20"/>
  <c r="G791" i="20"/>
  <c r="G792" i="20"/>
  <c r="G793" i="20"/>
  <c r="G794" i="20"/>
  <c r="G795" i="20"/>
  <c r="G796" i="20"/>
  <c r="G797" i="20"/>
  <c r="G798" i="20"/>
  <c r="G799" i="20"/>
  <c r="G800" i="20"/>
  <c r="G801" i="20"/>
  <c r="G802" i="20"/>
  <c r="G803" i="20"/>
  <c r="G804" i="20"/>
  <c r="G805" i="20"/>
  <c r="G806" i="20"/>
  <c r="G807" i="20"/>
  <c r="G808" i="20"/>
  <c r="G809" i="20"/>
  <c r="G810" i="20"/>
  <c r="G811" i="20"/>
  <c r="G812" i="20"/>
  <c r="G813" i="20"/>
  <c r="G814" i="20"/>
  <c r="G815" i="20"/>
  <c r="G816" i="20"/>
  <c r="G817" i="20"/>
  <c r="G818" i="20"/>
  <c r="G819" i="20"/>
  <c r="G820" i="20"/>
  <c r="G821" i="20"/>
  <c r="G822" i="20"/>
  <c r="G823" i="20"/>
  <c r="G824" i="20"/>
  <c r="G825" i="20"/>
  <c r="G826" i="20"/>
  <c r="G827" i="20"/>
  <c r="G828" i="20"/>
  <c r="G829" i="20"/>
  <c r="G830" i="20"/>
  <c r="G831" i="20"/>
  <c r="G832" i="20"/>
  <c r="G833" i="20"/>
  <c r="G834" i="20"/>
  <c r="G835" i="20"/>
  <c r="G836" i="20"/>
  <c r="G837" i="20"/>
  <c r="G838" i="20"/>
  <c r="G839" i="20"/>
  <c r="G840" i="20"/>
  <c r="G843" i="20"/>
  <c r="G844" i="20"/>
  <c r="G457" i="20"/>
  <c r="G776" i="20"/>
  <c r="G283" i="20"/>
  <c r="G563" i="20"/>
  <c r="G841" i="20"/>
  <c r="G284" i="20"/>
  <c r="G564" i="20"/>
  <c r="G842" i="20"/>
  <c r="G304" i="20"/>
  <c r="G305" i="20"/>
  <c r="G306" i="20"/>
  <c r="G309" i="20"/>
  <c r="G310" i="20"/>
  <c r="G311" i="20"/>
  <c r="G314" i="20"/>
  <c r="G315" i="20"/>
  <c r="G316" i="20"/>
  <c r="G320" i="20"/>
  <c r="G321" i="20"/>
  <c r="G322" i="20"/>
  <c r="G327" i="20"/>
  <c r="G328" i="20"/>
  <c r="G329" i="20"/>
  <c r="G333" i="20"/>
  <c r="G334" i="20"/>
  <c r="G335" i="20"/>
  <c r="G338" i="20"/>
  <c r="G339" i="20"/>
  <c r="G340" i="20"/>
  <c r="G343" i="20"/>
  <c r="G344" i="20"/>
  <c r="G345" i="20"/>
  <c r="G577" i="20"/>
  <c r="G578" i="20"/>
  <c r="G579" i="20"/>
  <c r="G584" i="20"/>
  <c r="G585" i="20"/>
  <c r="G586" i="20"/>
  <c r="G589" i="20"/>
  <c r="G590" i="20"/>
  <c r="G591" i="20"/>
  <c r="G595" i="20"/>
  <c r="G596" i="20"/>
  <c r="G597" i="20"/>
  <c r="G601" i="20"/>
  <c r="G602" i="20"/>
  <c r="G603" i="20"/>
  <c r="G608" i="20"/>
  <c r="G609" i="20"/>
  <c r="G610" i="20"/>
  <c r="G614" i="20"/>
  <c r="G615" i="20"/>
  <c r="G616" i="20"/>
  <c r="G619" i="20"/>
  <c r="G620" i="20"/>
  <c r="G621" i="20"/>
  <c r="G624" i="20"/>
  <c r="G625" i="20"/>
  <c r="G626" i="20"/>
  <c r="G631" i="20"/>
  <c r="G632" i="20"/>
  <c r="G633" i="20"/>
  <c r="G637" i="20"/>
  <c r="G638" i="20"/>
  <c r="G639" i="20"/>
  <c r="G845" i="20"/>
  <c r="G846" i="20"/>
  <c r="G847" i="20"/>
  <c r="G848" i="20"/>
  <c r="G849" i="20"/>
  <c r="G850" i="20"/>
  <c r="G851" i="20"/>
  <c r="G852" i="20"/>
  <c r="G853" i="20"/>
  <c r="G854" i="20"/>
  <c r="G855" i="20"/>
  <c r="G856" i="20"/>
  <c r="G857" i="20"/>
  <c r="G858" i="20"/>
  <c r="G859" i="20"/>
  <c r="G860" i="20"/>
  <c r="G861" i="20"/>
  <c r="G862" i="20"/>
  <c r="G863" i="20"/>
  <c r="G864" i="20"/>
  <c r="G865" i="20"/>
  <c r="G866" i="20"/>
  <c r="G867" i="20"/>
  <c r="G868" i="20"/>
  <c r="G869" i="20"/>
  <c r="G870" i="20"/>
  <c r="G871" i="20"/>
  <c r="G872" i="20"/>
  <c r="G873" i="20"/>
  <c r="G874" i="20"/>
  <c r="G875" i="20"/>
  <c r="G876" i="20"/>
  <c r="G877" i="20"/>
  <c r="G878" i="20"/>
  <c r="G879" i="20"/>
  <c r="G880" i="20"/>
  <c r="G881" i="20"/>
  <c r="G882" i="20"/>
  <c r="G883" i="20"/>
  <c r="G884" i="20"/>
  <c r="G885" i="20"/>
  <c r="G886" i="20"/>
  <c r="G887" i="20"/>
  <c r="G888" i="20"/>
  <c r="G889" i="20"/>
  <c r="G890" i="20"/>
  <c r="G891" i="20"/>
  <c r="G892" i="20"/>
  <c r="G893" i="20"/>
  <c r="G894" i="20"/>
  <c r="G895" i="20"/>
  <c r="G896" i="20"/>
  <c r="G897" i="20"/>
  <c r="G898" i="20"/>
  <c r="G899" i="20"/>
  <c r="G900" i="20"/>
  <c r="G901" i="20"/>
  <c r="G902" i="20"/>
  <c r="G903" i="20"/>
  <c r="G904" i="20"/>
  <c r="G905" i="20"/>
  <c r="G906" i="20"/>
  <c r="G907" i="20"/>
  <c r="G908" i="20"/>
  <c r="G909" i="20"/>
  <c r="G910" i="20"/>
  <c r="G911" i="20"/>
  <c r="G912" i="20"/>
  <c r="G913" i="20"/>
  <c r="G914" i="20"/>
  <c r="G915" i="20"/>
  <c r="G916" i="20"/>
  <c r="G917" i="20"/>
  <c r="G918" i="20"/>
  <c r="G919" i="20"/>
  <c r="G920" i="20"/>
  <c r="G921" i="20"/>
  <c r="G922" i="20"/>
  <c r="G923" i="20"/>
  <c r="G924" i="20"/>
  <c r="G925" i="20"/>
  <c r="G926" i="20"/>
  <c r="G927" i="20"/>
  <c r="G928" i="20"/>
  <c r="G929" i="20"/>
  <c r="G930" i="20"/>
  <c r="G931" i="20"/>
  <c r="G932" i="20"/>
  <c r="G933" i="20"/>
  <c r="G934" i="20"/>
  <c r="G935" i="20"/>
  <c r="G936" i="20"/>
  <c r="G937" i="20"/>
  <c r="G938" i="20"/>
  <c r="G939" i="20"/>
  <c r="G940" i="20"/>
  <c r="G941" i="20"/>
  <c r="G942" i="20"/>
  <c r="G943" i="20"/>
  <c r="G944" i="20"/>
  <c r="G945" i="20"/>
  <c r="G946" i="20"/>
  <c r="G947" i="20"/>
  <c r="G948" i="20"/>
  <c r="G949" i="20"/>
  <c r="G950" i="20"/>
  <c r="G951" i="20"/>
  <c r="G952" i="20"/>
  <c r="G953" i="20"/>
  <c r="G954" i="20"/>
  <c r="G955" i="20"/>
  <c r="G956" i="20"/>
  <c r="G957" i="20"/>
  <c r="G958" i="20"/>
  <c r="G959" i="20"/>
  <c r="G960" i="20"/>
  <c r="G961" i="20"/>
  <c r="G962" i="20"/>
  <c r="G963" i="20"/>
  <c r="G964" i="20"/>
  <c r="G965" i="20"/>
  <c r="G966" i="20"/>
  <c r="G967" i="20"/>
  <c r="G968" i="20"/>
  <c r="G969" i="20"/>
  <c r="G970" i="20"/>
  <c r="G971" i="20"/>
  <c r="G972" i="20"/>
  <c r="G973" i="20"/>
  <c r="G974" i="20"/>
  <c r="G975" i="20"/>
  <c r="G976" i="20"/>
  <c r="G977" i="20"/>
  <c r="G978" i="20"/>
  <c r="G979" i="20"/>
  <c r="G980" i="20"/>
  <c r="G981" i="20"/>
  <c r="G982" i="20"/>
  <c r="G983" i="20"/>
  <c r="G984" i="20"/>
  <c r="G985" i="20"/>
  <c r="G986" i="20"/>
  <c r="G987" i="20"/>
  <c r="G988" i="20"/>
  <c r="G989" i="20"/>
  <c r="G990" i="20"/>
  <c r="G991" i="20"/>
  <c r="G992" i="20"/>
  <c r="G993" i="20"/>
  <c r="G994" i="20"/>
  <c r="G995" i="20"/>
  <c r="G996" i="20"/>
  <c r="G997" i="20"/>
  <c r="G998" i="20"/>
  <c r="G999" i="20"/>
  <c r="G1000" i="20"/>
  <c r="G1001" i="20"/>
  <c r="G1002" i="20"/>
  <c r="G1003" i="20"/>
  <c r="G1004" i="20"/>
  <c r="G1005" i="20"/>
  <c r="G1006" i="20"/>
  <c r="G1007" i="20"/>
  <c r="G1008" i="20"/>
  <c r="G1009" i="20"/>
  <c r="G1010" i="20"/>
  <c r="G1011" i="20"/>
  <c r="G1012" i="20"/>
  <c r="G1013" i="20"/>
  <c r="G1014" i="20"/>
  <c r="G1015" i="20"/>
  <c r="G1016" i="20"/>
  <c r="G1017" i="20"/>
  <c r="G1018" i="20"/>
  <c r="G1019" i="20"/>
  <c r="G1020" i="20"/>
  <c r="G1021" i="20"/>
  <c r="G1022" i="20"/>
  <c r="G1023" i="20"/>
  <c r="G1024" i="20"/>
  <c r="G1025" i="20"/>
  <c r="G1026" i="20"/>
  <c r="G1027" i="20"/>
  <c r="G1028" i="20"/>
  <c r="G1029" i="20"/>
  <c r="G1030" i="20"/>
  <c r="G1031" i="20"/>
  <c r="G1032" i="20"/>
  <c r="G1033" i="20"/>
  <c r="G1034" i="20"/>
  <c r="G1035" i="20"/>
  <c r="G1036" i="20"/>
  <c r="G1037" i="20"/>
  <c r="G1038" i="20"/>
  <c r="G1039" i="20"/>
  <c r="G1040" i="20"/>
  <c r="G1041" i="20"/>
  <c r="G1042" i="20"/>
  <c r="G1043" i="20"/>
  <c r="G1044" i="20"/>
  <c r="G1045" i="20"/>
  <c r="G1046" i="20"/>
  <c r="G1047" i="20"/>
  <c r="G1048" i="20"/>
  <c r="G1049" i="20"/>
  <c r="G1050" i="20"/>
  <c r="G1051" i="20"/>
  <c r="G1052" i="20"/>
  <c r="G1053" i="20"/>
  <c r="G1054" i="20"/>
  <c r="G1055" i="20"/>
  <c r="G1056" i="20"/>
  <c r="G1057" i="20"/>
  <c r="G1058" i="20"/>
  <c r="G1059" i="20"/>
  <c r="G1060" i="20"/>
  <c r="G1061" i="20"/>
  <c r="G1062" i="20"/>
  <c r="G1063" i="20"/>
  <c r="G1064" i="20"/>
  <c r="G1065" i="20"/>
  <c r="G1066" i="20"/>
  <c r="G1067" i="20"/>
  <c r="G1068" i="20"/>
  <c r="G1069" i="20"/>
  <c r="G1070" i="20"/>
  <c r="G1071" i="20"/>
  <c r="G1072" i="20"/>
  <c r="G1073" i="20"/>
  <c r="G1074" i="20"/>
  <c r="G1075" i="20"/>
  <c r="G1076" i="20"/>
  <c r="G1077" i="20"/>
  <c r="G1078" i="20"/>
  <c r="G1079" i="20"/>
  <c r="G1080" i="20"/>
  <c r="G1081" i="20"/>
  <c r="G1082" i="20"/>
  <c r="G1083" i="20"/>
  <c r="G1084" i="20"/>
  <c r="G1085" i="20"/>
  <c r="G1086" i="20"/>
  <c r="G1087" i="20"/>
  <c r="G1088" i="20"/>
  <c r="G1089" i="20"/>
  <c r="G1090" i="20"/>
  <c r="G1091" i="20"/>
  <c r="G1092" i="20"/>
  <c r="G1093" i="20"/>
  <c r="G1094" i="20"/>
  <c r="G1095" i="20"/>
  <c r="G1096" i="20"/>
  <c r="G1097" i="20"/>
  <c r="G1098" i="20"/>
  <c r="G1099" i="20"/>
  <c r="G1100" i="20"/>
  <c r="G1101" i="20"/>
  <c r="G1102" i="20"/>
  <c r="G1103" i="20"/>
  <c r="G1104" i="20"/>
  <c r="G1105" i="20"/>
  <c r="G1106" i="20"/>
  <c r="G1107" i="20"/>
  <c r="G1108" i="20"/>
  <c r="G1109" i="20"/>
  <c r="G1110" i="20"/>
  <c r="G1111" i="20"/>
  <c r="G1112" i="20"/>
  <c r="G1113" i="20"/>
  <c r="G1114" i="20"/>
  <c r="G1115" i="20"/>
  <c r="G1116" i="20"/>
  <c r="G1117" i="20"/>
  <c r="G1118" i="20"/>
  <c r="G1119" i="20"/>
  <c r="G1120" i="20"/>
  <c r="G1121" i="20"/>
  <c r="G1122" i="20"/>
  <c r="G1123" i="20"/>
  <c r="G1124" i="20"/>
  <c r="G1125" i="20"/>
  <c r="G1126" i="20"/>
  <c r="G1127" i="20"/>
  <c r="G1128" i="20"/>
  <c r="G1129" i="20"/>
  <c r="G1130" i="20"/>
  <c r="G1131" i="20"/>
  <c r="G1132" i="20"/>
  <c r="G1133" i="20"/>
  <c r="G1134" i="20"/>
  <c r="G1135" i="20"/>
  <c r="G1136" i="20"/>
  <c r="G1137" i="20"/>
  <c r="G1138" i="20"/>
  <c r="G1139" i="20"/>
  <c r="G1140" i="20"/>
  <c r="G1141" i="20"/>
  <c r="G1142" i="20"/>
  <c r="G1143" i="20"/>
  <c r="G1144" i="20"/>
  <c r="G1145" i="20"/>
  <c r="G1146" i="20"/>
  <c r="G1147" i="20"/>
  <c r="G1148" i="20"/>
  <c r="G1149" i="20"/>
  <c r="G1150" i="20"/>
  <c r="G1151" i="20"/>
  <c r="G1152" i="20"/>
  <c r="G1153" i="20"/>
  <c r="G1154" i="20"/>
  <c r="G1155" i="20"/>
  <c r="G1156" i="20"/>
  <c r="G1157" i="20"/>
  <c r="G1158" i="20"/>
  <c r="G1159" i="20"/>
  <c r="G1160" i="20"/>
  <c r="G1161" i="20"/>
  <c r="G1162" i="20"/>
  <c r="G1163" i="20"/>
  <c r="G1164" i="20"/>
  <c r="G1165" i="20"/>
  <c r="G1166" i="20"/>
  <c r="G1167" i="20"/>
  <c r="G1168" i="20"/>
  <c r="G1169" i="20"/>
  <c r="G1170" i="20"/>
  <c r="G1171" i="20"/>
  <c r="G1172" i="20"/>
  <c r="G1173" i="20"/>
  <c r="G1174" i="20"/>
  <c r="G1175" i="20"/>
  <c r="G1176" i="20"/>
  <c r="G1177" i="20"/>
  <c r="G1178" i="20"/>
  <c r="G1179" i="20"/>
  <c r="G1180" i="20"/>
  <c r="G1181" i="20"/>
  <c r="G1182" i="20"/>
  <c r="G1183" i="20"/>
  <c r="G1184" i="20"/>
  <c r="G1185" i="20"/>
  <c r="G1186" i="20"/>
  <c r="G1187" i="20"/>
  <c r="G1188" i="20"/>
  <c r="G1189" i="20"/>
  <c r="G1190" i="20"/>
  <c r="G1191" i="20"/>
  <c r="G1192" i="20"/>
  <c r="G1193" i="20"/>
  <c r="G1194" i="20"/>
  <c r="G1195" i="20"/>
  <c r="G1196" i="20"/>
  <c r="G1197" i="20"/>
  <c r="G1198" i="20"/>
  <c r="G1199" i="20"/>
  <c r="G1200" i="20"/>
  <c r="G1201" i="20"/>
  <c r="G1202" i="20"/>
  <c r="G1203" i="20"/>
  <c r="G1204" i="20"/>
  <c r="G1205" i="20"/>
  <c r="G1206" i="20"/>
  <c r="G1207" i="20"/>
  <c r="G1208" i="20"/>
  <c r="G1209" i="20"/>
  <c r="G1210" i="20"/>
  <c r="G1211" i="20"/>
  <c r="G1212" i="20"/>
  <c r="G1213" i="20"/>
  <c r="G1214" i="20"/>
  <c r="G1215" i="20"/>
  <c r="G1216" i="20"/>
  <c r="G1217" i="20"/>
  <c r="G1218" i="20"/>
  <c r="G1219" i="20"/>
  <c r="G1220" i="20"/>
  <c r="G1221" i="20"/>
  <c r="G1222" i="20"/>
  <c r="G1223" i="20"/>
  <c r="G1224" i="20"/>
  <c r="G1225" i="20"/>
  <c r="G1226" i="20"/>
  <c r="G1227" i="20"/>
  <c r="G1228" i="20"/>
  <c r="G1229" i="20"/>
  <c r="G1230" i="20"/>
  <c r="G1231" i="20"/>
  <c r="G1232" i="20"/>
  <c r="G1233" i="20"/>
  <c r="G1234" i="20"/>
  <c r="G1235" i="20"/>
  <c r="G1236" i="20"/>
  <c r="G1237" i="20"/>
  <c r="G1238" i="20"/>
  <c r="G1239" i="20"/>
  <c r="G1240" i="20"/>
  <c r="G1241" i="20"/>
  <c r="G1242" i="20"/>
  <c r="G1243" i="20"/>
  <c r="G1244" i="20"/>
  <c r="G1245" i="20"/>
  <c r="G1246" i="20"/>
  <c r="G1247" i="20"/>
  <c r="G1248" i="20"/>
  <c r="G1249" i="20"/>
  <c r="G1250" i="20"/>
  <c r="G1251" i="20"/>
  <c r="G1252" i="20"/>
  <c r="G1253" i="20"/>
  <c r="G1254" i="20"/>
  <c r="G1255" i="20"/>
  <c r="G1256" i="20"/>
  <c r="G1257" i="20"/>
  <c r="G1258" i="20"/>
  <c r="G1259" i="20"/>
  <c r="G1260" i="20"/>
  <c r="G1261" i="20"/>
  <c r="G1262" i="20"/>
  <c r="G1263" i="20"/>
  <c r="G1264" i="20"/>
  <c r="G1265" i="20"/>
  <c r="G1266" i="20"/>
  <c r="G1267" i="20"/>
  <c r="G1268" i="20"/>
  <c r="G1269" i="20"/>
  <c r="G1270" i="20"/>
  <c r="G1271" i="20"/>
  <c r="G1272" i="20"/>
  <c r="G1273" i="20"/>
  <c r="G1274" i="20"/>
  <c r="G1275" i="20"/>
  <c r="G1276" i="20"/>
  <c r="G1277" i="20"/>
  <c r="G1278" i="20"/>
  <c r="G1279" i="20"/>
  <c r="G1280" i="20"/>
  <c r="G1281" i="20"/>
  <c r="G1282" i="20"/>
  <c r="G1283" i="20"/>
  <c r="G1284" i="20"/>
  <c r="G1285" i="20"/>
  <c r="G1286" i="20"/>
  <c r="G1287" i="20"/>
  <c r="G1288" i="20"/>
  <c r="G1289" i="20"/>
  <c r="G1290" i="20"/>
  <c r="G1291" i="20"/>
  <c r="G1292" i="20"/>
  <c r="G1293" i="20"/>
  <c r="G1294" i="20"/>
  <c r="G1295" i="20"/>
  <c r="G1296" i="20"/>
  <c r="G1297" i="20"/>
  <c r="G1298" i="20"/>
  <c r="G1299" i="20"/>
  <c r="G1300" i="20"/>
  <c r="G1301" i="20"/>
  <c r="G1302" i="20"/>
  <c r="G1303" i="20"/>
  <c r="G1304" i="20"/>
  <c r="G1305" i="20"/>
  <c r="G1306" i="20"/>
  <c r="G1307" i="20"/>
  <c r="G1308" i="20"/>
  <c r="G1309" i="20"/>
  <c r="G1310" i="20"/>
  <c r="G1311" i="20"/>
  <c r="G1312" i="20"/>
  <c r="G1313" i="20"/>
  <c r="G1314" i="20"/>
  <c r="G1315" i="20"/>
  <c r="G1316" i="20"/>
  <c r="G1317" i="20"/>
  <c r="G1318" i="20"/>
  <c r="G1319" i="20"/>
  <c r="G1320" i="20"/>
  <c r="G1321" i="20"/>
  <c r="G1322" i="20"/>
  <c r="G1323" i="20"/>
  <c r="G1324" i="20"/>
  <c r="G1325" i="20"/>
  <c r="G1326" i="20"/>
  <c r="G1327" i="20"/>
  <c r="G1328" i="20"/>
  <c r="G1329" i="20"/>
  <c r="G1330" i="20"/>
  <c r="G1331" i="20"/>
  <c r="G1332" i="20"/>
  <c r="G1333" i="20"/>
  <c r="G1334" i="20"/>
  <c r="G1335" i="20"/>
  <c r="G1336" i="20"/>
  <c r="G1337" i="20"/>
  <c r="G1338" i="20"/>
  <c r="G1339" i="20"/>
  <c r="G1340" i="20"/>
  <c r="G1341" i="20"/>
  <c r="G1342" i="20"/>
  <c r="G1343" i="20"/>
  <c r="G1344" i="20"/>
  <c r="G1345" i="20"/>
  <c r="G1346" i="20"/>
  <c r="G1347" i="20"/>
  <c r="G1348" i="20"/>
  <c r="G1349" i="20"/>
  <c r="G1350" i="20"/>
  <c r="G1351" i="20"/>
  <c r="G1352" i="20"/>
  <c r="G1353" i="20"/>
  <c r="G1354" i="20"/>
  <c r="G1355" i="20"/>
  <c r="G1356" i="20"/>
  <c r="G1357" i="20"/>
  <c r="G1358" i="20"/>
  <c r="G1359" i="20"/>
  <c r="G1360" i="20"/>
  <c r="G1361" i="20"/>
  <c r="G1362" i="20"/>
  <c r="G1363" i="20"/>
  <c r="G1364" i="20"/>
  <c r="G1365" i="20"/>
  <c r="G1366" i="20"/>
  <c r="G1367" i="20"/>
  <c r="G1368" i="20"/>
  <c r="G1369" i="20"/>
  <c r="G1370" i="20"/>
  <c r="G1371" i="20"/>
  <c r="G1372" i="20"/>
  <c r="G1373" i="20"/>
  <c r="G1374" i="20"/>
  <c r="G1375" i="20"/>
  <c r="G1376" i="20"/>
  <c r="G1377" i="20"/>
  <c r="G1378" i="20"/>
  <c r="G1379" i="20"/>
  <c r="G1380" i="20"/>
  <c r="G1381" i="20"/>
  <c r="G1382" i="20"/>
  <c r="G1383" i="20"/>
  <c r="G1384" i="20"/>
  <c r="G1385" i="20"/>
  <c r="G1386" i="20"/>
  <c r="G1387" i="20"/>
  <c r="G1388" i="20"/>
  <c r="G1389" i="20"/>
  <c r="G1390" i="20"/>
  <c r="G1391" i="20"/>
  <c r="G1392" i="20"/>
  <c r="G1393" i="20"/>
  <c r="G1394" i="20"/>
  <c r="G1395" i="20"/>
  <c r="G1396" i="20"/>
  <c r="G1397" i="20"/>
  <c r="G1398" i="20"/>
  <c r="G1399" i="20"/>
  <c r="G1400" i="20"/>
  <c r="G1401" i="20"/>
  <c r="G1402" i="20"/>
  <c r="G1403" i="20"/>
  <c r="G1404" i="20"/>
  <c r="G1405" i="20"/>
  <c r="G1406" i="20"/>
  <c r="G1407" i="20"/>
  <c r="G1408" i="20"/>
  <c r="G1409" i="20"/>
  <c r="G1410" i="20"/>
  <c r="G1411" i="20"/>
  <c r="G1412" i="20"/>
  <c r="G1413" i="20"/>
  <c r="G1414" i="20"/>
  <c r="G1415" i="20"/>
  <c r="G1416" i="20"/>
  <c r="G1417" i="20"/>
  <c r="G1418" i="20"/>
  <c r="G1419" i="20"/>
  <c r="G1420" i="20"/>
  <c r="G1421" i="20"/>
  <c r="G1422" i="20"/>
  <c r="G1423" i="20"/>
  <c r="G1424" i="20"/>
  <c r="G1425" i="20"/>
  <c r="G1426" i="20"/>
  <c r="G1427" i="20"/>
  <c r="G1428" i="20"/>
  <c r="G1429" i="20"/>
  <c r="G1430" i="20"/>
  <c r="G1431" i="20"/>
  <c r="G1432" i="20"/>
  <c r="G1433" i="20"/>
  <c r="G1434" i="20"/>
  <c r="G1435" i="20"/>
  <c r="G1436" i="20"/>
  <c r="G1437" i="20"/>
  <c r="G1438" i="20"/>
  <c r="G1439" i="20"/>
  <c r="G1440" i="20"/>
  <c r="G1441" i="20"/>
  <c r="G1442" i="20"/>
  <c r="G1443" i="20"/>
  <c r="G1444" i="20"/>
  <c r="G1445" i="20"/>
  <c r="G1446" i="20"/>
  <c r="G1447" i="20"/>
  <c r="G1448" i="20"/>
  <c r="G1449" i="20"/>
  <c r="G1450" i="20"/>
  <c r="G1451" i="20"/>
  <c r="G1452" i="20"/>
  <c r="G1453" i="20"/>
  <c r="G1454" i="20"/>
  <c r="G1455" i="20"/>
  <c r="G1456" i="20"/>
  <c r="G1457" i="20"/>
  <c r="G1458" i="20"/>
  <c r="G1459" i="20"/>
  <c r="G1460" i="20"/>
  <c r="G1461" i="20"/>
  <c r="G1462" i="20"/>
  <c r="G1463" i="20"/>
  <c r="G1464" i="20"/>
  <c r="G1465" i="20"/>
  <c r="G1466" i="20"/>
  <c r="G1467" i="20"/>
  <c r="G1468" i="20"/>
  <c r="G1469" i="20"/>
  <c r="G1470" i="20"/>
  <c r="G1471" i="20"/>
  <c r="G1472" i="20"/>
  <c r="G1473" i="20"/>
  <c r="G1474" i="20"/>
  <c r="G1475" i="20"/>
  <c r="G1476" i="20"/>
  <c r="G1477" i="20"/>
  <c r="G1478" i="20"/>
  <c r="G1479" i="20"/>
  <c r="G1480" i="20"/>
  <c r="G1481" i="20"/>
  <c r="G1482" i="20"/>
  <c r="G1483" i="20"/>
  <c r="G1484" i="20"/>
  <c r="G1485" i="20"/>
  <c r="G1486" i="20"/>
  <c r="G1487" i="20"/>
  <c r="G1488" i="20"/>
  <c r="G1489" i="20"/>
  <c r="G1490" i="20"/>
  <c r="G1491" i="20"/>
  <c r="G1492" i="20"/>
  <c r="G1493" i="20"/>
  <c r="G1494" i="20"/>
  <c r="G1495" i="20"/>
  <c r="G1496" i="20"/>
  <c r="G1497" i="20"/>
  <c r="G1498" i="20"/>
  <c r="G1499" i="20"/>
  <c r="G1500" i="20"/>
  <c r="G1501" i="20"/>
  <c r="G1502" i="20"/>
  <c r="G1503" i="20"/>
  <c r="G1504" i="20"/>
  <c r="G1505" i="20"/>
  <c r="G1506" i="20"/>
  <c r="G1507" i="20"/>
  <c r="G1508" i="20"/>
  <c r="G1509" i="20"/>
  <c r="G1510" i="20"/>
  <c r="G1511" i="20"/>
  <c r="G1512" i="20"/>
  <c r="G1513" i="20"/>
  <c r="G1514" i="20"/>
  <c r="G1515" i="20"/>
  <c r="G1516" i="20"/>
  <c r="G1517" i="20"/>
  <c r="G1518" i="20"/>
  <c r="G1519" i="20"/>
  <c r="G1520" i="20"/>
  <c r="G1521" i="20"/>
  <c r="G1522" i="20"/>
  <c r="G1523" i="20"/>
  <c r="G1524" i="20"/>
  <c r="G1525" i="20"/>
  <c r="G1526" i="20"/>
  <c r="G1527" i="20"/>
  <c r="G1528" i="20"/>
  <c r="G1529" i="20"/>
  <c r="G1530" i="20"/>
  <c r="G1531" i="20"/>
  <c r="G1532" i="20"/>
  <c r="G1533" i="20"/>
  <c r="G1534" i="20"/>
  <c r="G1535" i="20"/>
  <c r="G1536" i="20"/>
  <c r="G1537" i="20"/>
  <c r="G1538" i="20"/>
  <c r="G1539" i="20"/>
  <c r="G1540" i="20"/>
  <c r="G1541" i="20"/>
  <c r="G1542" i="20"/>
  <c r="G1543" i="20"/>
  <c r="G1544" i="20"/>
  <c r="G1545" i="20"/>
  <c r="G1546" i="20"/>
  <c r="G1547" i="20"/>
  <c r="G1548" i="20"/>
  <c r="G1549" i="20"/>
  <c r="G1550" i="20"/>
  <c r="G1551" i="20"/>
  <c r="G1552" i="20"/>
  <c r="G1553" i="20"/>
  <c r="G1554" i="20"/>
  <c r="G1555" i="20"/>
  <c r="G1556" i="20"/>
  <c r="G1557" i="20"/>
  <c r="G1558" i="20"/>
  <c r="G1559" i="20"/>
  <c r="G1560" i="20"/>
  <c r="G1561" i="20"/>
  <c r="G1562" i="20"/>
  <c r="G1563" i="20"/>
  <c r="G1564" i="20"/>
  <c r="G1565" i="20"/>
  <c r="G1566" i="20"/>
  <c r="G1567" i="20"/>
  <c r="G1568" i="20"/>
  <c r="G1569" i="20"/>
  <c r="G1570" i="20"/>
  <c r="G1571" i="20"/>
  <c r="G1572" i="20"/>
  <c r="G1573" i="20"/>
  <c r="G1574" i="20"/>
  <c r="G1575" i="20"/>
  <c r="G1576" i="20"/>
  <c r="G1577" i="20"/>
  <c r="G1578" i="20"/>
  <c r="G1579" i="20"/>
  <c r="G1580" i="20"/>
  <c r="G1581" i="20"/>
  <c r="G1582" i="20"/>
  <c r="G1583" i="20"/>
  <c r="G1584" i="20"/>
  <c r="G1585" i="20"/>
  <c r="G1586" i="20"/>
  <c r="G1587" i="20"/>
  <c r="G1588" i="20"/>
  <c r="G1589" i="20"/>
  <c r="G1590" i="20"/>
  <c r="G1591" i="20"/>
  <c r="G1592" i="20"/>
  <c r="G1593" i="20"/>
  <c r="G1594" i="20"/>
  <c r="G1595" i="20"/>
  <c r="G1596" i="20"/>
  <c r="G1597" i="20"/>
  <c r="G1598" i="20"/>
  <c r="G1599" i="20"/>
  <c r="G1600" i="20"/>
  <c r="G1601" i="20"/>
  <c r="G1602" i="20"/>
  <c r="G1603" i="20"/>
  <c r="G1604" i="20"/>
  <c r="G1605" i="20"/>
  <c r="G1606" i="20"/>
  <c r="G1607" i="20"/>
  <c r="G1608" i="20"/>
  <c r="G1609" i="20"/>
  <c r="G1610" i="20"/>
  <c r="G1611" i="20"/>
  <c r="G1612" i="20"/>
  <c r="G1613" i="20"/>
  <c r="G1614" i="20"/>
  <c r="G1615" i="20"/>
  <c r="G1616" i="20"/>
  <c r="G1617" i="20"/>
  <c r="G1618" i="20"/>
  <c r="G1619" i="20"/>
  <c r="G1620" i="20"/>
  <c r="G1621" i="20"/>
  <c r="G1622" i="20"/>
  <c r="G1623" i="20"/>
  <c r="G1624" i="20"/>
  <c r="G1625" i="20"/>
  <c r="G1626" i="20"/>
  <c r="G1627" i="20"/>
  <c r="G1628" i="20"/>
  <c r="G1629" i="20"/>
  <c r="G1630" i="20"/>
  <c r="G1631" i="20"/>
  <c r="G1632" i="20"/>
  <c r="G1633" i="20"/>
  <c r="G1634" i="20"/>
  <c r="G1635" i="20"/>
  <c r="G1636" i="20"/>
  <c r="G1637" i="20"/>
  <c r="G1638" i="20"/>
  <c r="G1639" i="20"/>
  <c r="G1640" i="20"/>
  <c r="G1641" i="20"/>
  <c r="G1642" i="20"/>
  <c r="G1643" i="20"/>
  <c r="G1644" i="20"/>
  <c r="G1645" i="20"/>
  <c r="G1646" i="20"/>
  <c r="G1647" i="20"/>
  <c r="G1648" i="20"/>
  <c r="G1649" i="20"/>
  <c r="G1650" i="20"/>
  <c r="G1651" i="20"/>
  <c r="G1652" i="20"/>
  <c r="G1653" i="20"/>
  <c r="G1654" i="20"/>
  <c r="G1655" i="20"/>
  <c r="G1656" i="20"/>
  <c r="G1657" i="20"/>
  <c r="G1658" i="20"/>
  <c r="G1659" i="20"/>
  <c r="G1660" i="20"/>
  <c r="G1661" i="20"/>
  <c r="G1662" i="20"/>
  <c r="G1663" i="20"/>
  <c r="G1664" i="20"/>
  <c r="G1665" i="20"/>
  <c r="G1666" i="20"/>
  <c r="G1667" i="20"/>
  <c r="G1668" i="20"/>
  <c r="G1669" i="20"/>
  <c r="G1670" i="20"/>
  <c r="G1671" i="20"/>
  <c r="G1672" i="20"/>
  <c r="G1673" i="20"/>
  <c r="G1674" i="20"/>
  <c r="G1675" i="20"/>
  <c r="G1676" i="20"/>
  <c r="G1677" i="20"/>
  <c r="G1678" i="20"/>
  <c r="G1679" i="20"/>
  <c r="G1680" i="20"/>
  <c r="G1681" i="20"/>
  <c r="G1682" i="20"/>
  <c r="G1683" i="20"/>
  <c r="G1684" i="20"/>
  <c r="G1685" i="20"/>
  <c r="G1686" i="20"/>
  <c r="G1687" i="20"/>
  <c r="G1688" i="20"/>
  <c r="G1689" i="20"/>
  <c r="G1690" i="20"/>
  <c r="G1691" i="20"/>
  <c r="G1692" i="20"/>
  <c r="G1693" i="20"/>
  <c r="G1694" i="20"/>
  <c r="G1695" i="20"/>
  <c r="G1696" i="20"/>
  <c r="G1697" i="20"/>
  <c r="G1698" i="20"/>
  <c r="G1699" i="20"/>
  <c r="G1700" i="20"/>
  <c r="G1701" i="20"/>
  <c r="G1702" i="20"/>
  <c r="G1703" i="20"/>
  <c r="G1704" i="20"/>
  <c r="G1705" i="20"/>
  <c r="G1706" i="20"/>
  <c r="G1707" i="20"/>
  <c r="G1708" i="20"/>
  <c r="G1709" i="20"/>
  <c r="G1710" i="20"/>
  <c r="G1711" i="20"/>
  <c r="G1712" i="20"/>
  <c r="G1713" i="20"/>
  <c r="G1714" i="20"/>
  <c r="G1715" i="20"/>
  <c r="G1716" i="20"/>
  <c r="G1717" i="20"/>
  <c r="G1718" i="20"/>
  <c r="G1719" i="20"/>
  <c r="G1720" i="20"/>
  <c r="G1721" i="20"/>
  <c r="G1722" i="20"/>
  <c r="G1723" i="20"/>
  <c r="G1724" i="20"/>
  <c r="G1725" i="20"/>
  <c r="G1726" i="20"/>
  <c r="G1727" i="20"/>
  <c r="G1728" i="20"/>
  <c r="G1729" i="20"/>
  <c r="G1730" i="20"/>
  <c r="G1731" i="20"/>
  <c r="G1732" i="20"/>
  <c r="G1733" i="20"/>
  <c r="G1734" i="20"/>
  <c r="G1735" i="20"/>
  <c r="G1736" i="20"/>
  <c r="G1737" i="20"/>
  <c r="G1738" i="20"/>
  <c r="G1739" i="20"/>
  <c r="G1740" i="20"/>
  <c r="G1741" i="20"/>
  <c r="G1742" i="20"/>
  <c r="G1743" i="20"/>
  <c r="G1744" i="20"/>
  <c r="G1745" i="20"/>
  <c r="G1746" i="20"/>
  <c r="G1747" i="20"/>
  <c r="G1748" i="20"/>
  <c r="G1749" i="20"/>
  <c r="G1750" i="20"/>
  <c r="G1751" i="20"/>
  <c r="G1752" i="20"/>
  <c r="G1753" i="20"/>
  <c r="G1754" i="20"/>
  <c r="G1755" i="20"/>
  <c r="G1756" i="20"/>
  <c r="G1757" i="20"/>
  <c r="G1758" i="20"/>
  <c r="G1759" i="20"/>
  <c r="G1760" i="20"/>
  <c r="G1761" i="20"/>
  <c r="G1762" i="20"/>
  <c r="G1763" i="20"/>
  <c r="G1764" i="20"/>
  <c r="G1765" i="20"/>
  <c r="G1766" i="20"/>
  <c r="G1767" i="20"/>
  <c r="G1768" i="20"/>
  <c r="G1769" i="20"/>
  <c r="G1770" i="20"/>
  <c r="G1771" i="20"/>
  <c r="G1772" i="20"/>
  <c r="G1773" i="20"/>
  <c r="G1774" i="20"/>
  <c r="G1775" i="20"/>
  <c r="G1776" i="20"/>
  <c r="G1777" i="20"/>
  <c r="G1778" i="20"/>
  <c r="G1779" i="20"/>
  <c r="G1780" i="20"/>
  <c r="G1781" i="20"/>
  <c r="G1782" i="20"/>
  <c r="G1783" i="20"/>
  <c r="G1784" i="20"/>
  <c r="G1785" i="20"/>
  <c r="G1786" i="20"/>
  <c r="G1787" i="20"/>
  <c r="G1788" i="20"/>
  <c r="G1789" i="20"/>
  <c r="G1790" i="20"/>
  <c r="G1791" i="20"/>
  <c r="G1792" i="20"/>
  <c r="G1793" i="20"/>
  <c r="G1794" i="20"/>
  <c r="G1795" i="20"/>
  <c r="G1796" i="20"/>
  <c r="G1797" i="20"/>
  <c r="G1798" i="20"/>
  <c r="G1799" i="20"/>
  <c r="G1800" i="20"/>
  <c r="G1801" i="20"/>
  <c r="G1802" i="20"/>
  <c r="G1803" i="20"/>
  <c r="G1804" i="20"/>
  <c r="G1805" i="20"/>
  <c r="G1806" i="20"/>
  <c r="G1807" i="20"/>
  <c r="G1808" i="20"/>
  <c r="G1809" i="20"/>
  <c r="G1810" i="20"/>
  <c r="G1811" i="20"/>
  <c r="G1812" i="20"/>
  <c r="G1813" i="20"/>
  <c r="G1814" i="20"/>
  <c r="G1815" i="20"/>
  <c r="G1816" i="20"/>
  <c r="G1817" i="20"/>
  <c r="G1818" i="20"/>
  <c r="G1819" i="20"/>
  <c r="G1820" i="20"/>
  <c r="G1821" i="20"/>
  <c r="G1822" i="20"/>
  <c r="G1823" i="20"/>
  <c r="G1824" i="20"/>
  <c r="G1825" i="20"/>
  <c r="G1826" i="20"/>
  <c r="G1827" i="20"/>
  <c r="G1828" i="20"/>
  <c r="G1829" i="20"/>
  <c r="G1830" i="20"/>
  <c r="G1831" i="20"/>
  <c r="G1832" i="20"/>
  <c r="G1833" i="20"/>
  <c r="G1834" i="20"/>
  <c r="G1835" i="20"/>
  <c r="G1836" i="20"/>
  <c r="G1837" i="20"/>
  <c r="G1838" i="20"/>
  <c r="G1839" i="20"/>
  <c r="G1840" i="20"/>
  <c r="G1841" i="20"/>
  <c r="G1842" i="20"/>
  <c r="G1843" i="20"/>
  <c r="G1844" i="20"/>
  <c r="G1845" i="20"/>
  <c r="G1846" i="20"/>
  <c r="G1847" i="20"/>
  <c r="G1848" i="20"/>
  <c r="G1849" i="20"/>
  <c r="G1850" i="20"/>
  <c r="G1851" i="20"/>
  <c r="G1852" i="20"/>
  <c r="G1853" i="20"/>
  <c r="G1854" i="20"/>
  <c r="G1855" i="20"/>
  <c r="G1856" i="20"/>
  <c r="G1857" i="20"/>
  <c r="G1858" i="20"/>
  <c r="G1859" i="20"/>
  <c r="G1860" i="20"/>
  <c r="G1861" i="20"/>
  <c r="G1862" i="20"/>
  <c r="G1863" i="20"/>
  <c r="G1864" i="20"/>
  <c r="G1865" i="20"/>
  <c r="G1866" i="20"/>
  <c r="G1867" i="20"/>
  <c r="G1868" i="20"/>
  <c r="G1869" i="20"/>
  <c r="G1870" i="20"/>
  <c r="G1871" i="20"/>
  <c r="G1872" i="20"/>
  <c r="G1873" i="20"/>
  <c r="G1874" i="20"/>
  <c r="G1875" i="20"/>
  <c r="G1876" i="20"/>
  <c r="G1877" i="20"/>
  <c r="G1878" i="20"/>
  <c r="G1879" i="20"/>
  <c r="G1880" i="20"/>
  <c r="G1881" i="20"/>
  <c r="G1882" i="20"/>
  <c r="G1883" i="20"/>
  <c r="G1884" i="20"/>
  <c r="G1885" i="20"/>
  <c r="G1886" i="20"/>
  <c r="G1887" i="20"/>
  <c r="G1888" i="20"/>
  <c r="G1889" i="20"/>
  <c r="G1890" i="20"/>
  <c r="G1891" i="20"/>
  <c r="G1892" i="20"/>
  <c r="G1893" i="20"/>
  <c r="G1894" i="20"/>
  <c r="G1895" i="20"/>
  <c r="G1896" i="20"/>
  <c r="G1897" i="20"/>
  <c r="G1898" i="20"/>
  <c r="G1899" i="20"/>
  <c r="G1900" i="20"/>
  <c r="G1901" i="20"/>
  <c r="G1902" i="20"/>
  <c r="G1903" i="20"/>
  <c r="G1904" i="20"/>
  <c r="G1905" i="20"/>
  <c r="G1906" i="20"/>
  <c r="G1907" i="20"/>
  <c r="G1908" i="20"/>
  <c r="G1909" i="20"/>
  <c r="G1910" i="20"/>
  <c r="G1911" i="20"/>
  <c r="G1912" i="20"/>
  <c r="G1913" i="20"/>
  <c r="G1914" i="20"/>
  <c r="G1915" i="20"/>
  <c r="G1916" i="20"/>
  <c r="G1917" i="20"/>
  <c r="G1918" i="20"/>
  <c r="G1919" i="20"/>
  <c r="G1920" i="20"/>
  <c r="G1921" i="20"/>
  <c r="G1922" i="20"/>
  <c r="G1923" i="20"/>
  <c r="G1924" i="20"/>
  <c r="G1925" i="20"/>
  <c r="G1926" i="20"/>
  <c r="G1927" i="20"/>
  <c r="G1928" i="20"/>
  <c r="G1929" i="20"/>
  <c r="G1930" i="20"/>
  <c r="G1931" i="20"/>
  <c r="G1932" i="20"/>
  <c r="G1933" i="20"/>
  <c r="G1934" i="20"/>
  <c r="G1935" i="20"/>
  <c r="G1936" i="20"/>
  <c r="G1937" i="20"/>
  <c r="G1938" i="20"/>
  <c r="G1939" i="20"/>
  <c r="G1940" i="20"/>
  <c r="G1941" i="20"/>
  <c r="G1942" i="20"/>
  <c r="G1943" i="20"/>
  <c r="G1944" i="20"/>
  <c r="G1945" i="20"/>
  <c r="G1946" i="20"/>
  <c r="G1947" i="20"/>
  <c r="G1948" i="20"/>
  <c r="G1949" i="20"/>
  <c r="G1950" i="20"/>
  <c r="G1951" i="20"/>
  <c r="G1952" i="20"/>
  <c r="G1953" i="20"/>
  <c r="G1954" i="20"/>
  <c r="G1955" i="20"/>
  <c r="G1956" i="20"/>
  <c r="G1957" i="20"/>
  <c r="G1958" i="20"/>
  <c r="G1959" i="20"/>
  <c r="G1960" i="20"/>
  <c r="G1961" i="20"/>
  <c r="G1962" i="20"/>
  <c r="G1963" i="20"/>
  <c r="G1964" i="20"/>
  <c r="G1965" i="20"/>
  <c r="G1966" i="20"/>
  <c r="G1967" i="20"/>
  <c r="G1968" i="20"/>
  <c r="G1969" i="20"/>
  <c r="G1970" i="20"/>
  <c r="G1971" i="20"/>
  <c r="G1972" i="20"/>
  <c r="G1973" i="20"/>
  <c r="G1974" i="20"/>
  <c r="G1975" i="20"/>
  <c r="G1976" i="20"/>
  <c r="G1977" i="20"/>
  <c r="G1978" i="20"/>
  <c r="G1979" i="20"/>
  <c r="G1980" i="20"/>
  <c r="G1981" i="20"/>
  <c r="G1982" i="20"/>
  <c r="G1983" i="20"/>
  <c r="G1984" i="20"/>
  <c r="G1985" i="20"/>
  <c r="G1986" i="20"/>
  <c r="G1987" i="20"/>
  <c r="G1988" i="20"/>
  <c r="G1989" i="20"/>
  <c r="G1990" i="20"/>
  <c r="G1991" i="20"/>
  <c r="G1992" i="20"/>
  <c r="G1993" i="20"/>
  <c r="G1994" i="20"/>
  <c r="G1995" i="20"/>
  <c r="G1996" i="20"/>
  <c r="G1997" i="20"/>
  <c r="G1998" i="20"/>
  <c r="G1999" i="20"/>
  <c r="G2000" i="20"/>
  <c r="G2001" i="20"/>
  <c r="G2002" i="20"/>
  <c r="G2003" i="20"/>
  <c r="G2004" i="20"/>
  <c r="G2005" i="20"/>
  <c r="G2006" i="20"/>
  <c r="G2007" i="20"/>
  <c r="G2008" i="20"/>
  <c r="G2009" i="20"/>
  <c r="G2010" i="20"/>
  <c r="G2011" i="20"/>
  <c r="G2012" i="20"/>
  <c r="G2013" i="20"/>
  <c r="G2014" i="20"/>
  <c r="G2015" i="20"/>
  <c r="G2016" i="20"/>
  <c r="G2017" i="20"/>
  <c r="G2018" i="20"/>
  <c r="G2019" i="20"/>
  <c r="G2020" i="20"/>
  <c r="G2021" i="20"/>
  <c r="G2022" i="20"/>
  <c r="G2023" i="20"/>
  <c r="G2024" i="20"/>
  <c r="G2025" i="20"/>
  <c r="G2026" i="20"/>
  <c r="G2027" i="20"/>
  <c r="G2028" i="20"/>
  <c r="G2029" i="20"/>
  <c r="G2030" i="20"/>
  <c r="G2031" i="20"/>
  <c r="G2032" i="20"/>
  <c r="G2033" i="20"/>
  <c r="G2034" i="20"/>
  <c r="G2035" i="20"/>
  <c r="G2036" i="20"/>
  <c r="G2037" i="20"/>
  <c r="G2038" i="20"/>
  <c r="G2039" i="20"/>
  <c r="G2040" i="20"/>
  <c r="G2041" i="20"/>
  <c r="G2042" i="20"/>
  <c r="G2043" i="20"/>
  <c r="G2044" i="20"/>
  <c r="G2045" i="20"/>
  <c r="G2046" i="20"/>
  <c r="G2047" i="20"/>
  <c r="G2048" i="20"/>
  <c r="G2049" i="20"/>
  <c r="G2050" i="20"/>
  <c r="G2051" i="20"/>
  <c r="G2052" i="20"/>
  <c r="G2053" i="20"/>
  <c r="G2054" i="20"/>
  <c r="G2055" i="20"/>
  <c r="G2056" i="20"/>
  <c r="G2057" i="20"/>
  <c r="G2058" i="20"/>
  <c r="G2059" i="20"/>
  <c r="G2060" i="20"/>
  <c r="G2061" i="20"/>
  <c r="G2062" i="20"/>
  <c r="G2063" i="20"/>
  <c r="G2064" i="20"/>
  <c r="G2065" i="20"/>
  <c r="G2066" i="20"/>
  <c r="G2067" i="20"/>
  <c r="G2068" i="20"/>
  <c r="G2069" i="20"/>
  <c r="G2070" i="20"/>
  <c r="G2071" i="20"/>
  <c r="G2072" i="20"/>
  <c r="G2073" i="20"/>
  <c r="G2074" i="20"/>
  <c r="G2075" i="20"/>
  <c r="G2076" i="20"/>
  <c r="G2077" i="20"/>
  <c r="G2078" i="20"/>
  <c r="G2079" i="20"/>
  <c r="G2080" i="20"/>
  <c r="G2081" i="20"/>
  <c r="G2082" i="20"/>
  <c r="G2083" i="20"/>
  <c r="G2084" i="20"/>
  <c r="G2085" i="20"/>
  <c r="G2086" i="20"/>
  <c r="G2087" i="20"/>
  <c r="G2088" i="20"/>
  <c r="G2089" i="20"/>
  <c r="G2090" i="20"/>
  <c r="G2091" i="20"/>
  <c r="G2092" i="20"/>
  <c r="G2093" i="20"/>
  <c r="G2094" i="20"/>
  <c r="G2095" i="20"/>
  <c r="G2096" i="20"/>
  <c r="G2097" i="20"/>
  <c r="G2098" i="20"/>
  <c r="G2099" i="20"/>
  <c r="G2100" i="20"/>
  <c r="G2101" i="20"/>
  <c r="G2102" i="20"/>
  <c r="G2103" i="20"/>
  <c r="G2104" i="20"/>
  <c r="G2105" i="20"/>
  <c r="G2106" i="20"/>
  <c r="G2107" i="20"/>
  <c r="G2108" i="20"/>
  <c r="G2109" i="20"/>
  <c r="G2110" i="20"/>
  <c r="G2111" i="20"/>
  <c r="G2112" i="20"/>
  <c r="G2113" i="20"/>
  <c r="G2114" i="20"/>
  <c r="G2115" i="20"/>
  <c r="G2116" i="20"/>
  <c r="G2117" i="20"/>
  <c r="G2118" i="20"/>
  <c r="G2119" i="20"/>
  <c r="G2120" i="20"/>
  <c r="G2121" i="20"/>
  <c r="G2122" i="20"/>
  <c r="G2123" i="20"/>
  <c r="G2124" i="20"/>
  <c r="G2125" i="20"/>
  <c r="G2126" i="20"/>
  <c r="G2127" i="20"/>
  <c r="G2128" i="20"/>
  <c r="G2129" i="20"/>
  <c r="G2130" i="20"/>
  <c r="G2131" i="20"/>
  <c r="G2132" i="20"/>
  <c r="G2133" i="20"/>
  <c r="G2134" i="20"/>
  <c r="G2135" i="20"/>
  <c r="G2136" i="20"/>
  <c r="G2137" i="20"/>
  <c r="G2138" i="20"/>
  <c r="G2139" i="20"/>
  <c r="G2140" i="20"/>
  <c r="G2141" i="20"/>
  <c r="G2142" i="20"/>
  <c r="G2143" i="20"/>
  <c r="G2144" i="20"/>
  <c r="G2145" i="20"/>
  <c r="G2146" i="20"/>
  <c r="G2147" i="20"/>
  <c r="G2148" i="20"/>
  <c r="G2149" i="20"/>
  <c r="G2150" i="20"/>
  <c r="G2151" i="20"/>
  <c r="G2152" i="20"/>
  <c r="G2153" i="20"/>
  <c r="G2154" i="20"/>
  <c r="G2155" i="20"/>
  <c r="G2156" i="20"/>
  <c r="G2157" i="20"/>
  <c r="G2158" i="20"/>
  <c r="G2159" i="20"/>
  <c r="G2160" i="20"/>
  <c r="G2161" i="20"/>
  <c r="G2162" i="20"/>
  <c r="G2163" i="20"/>
  <c r="G2164" i="20"/>
  <c r="G2165" i="20"/>
  <c r="G2166" i="20"/>
  <c r="G2167" i="20"/>
  <c r="G2168" i="20"/>
  <c r="G2169" i="20"/>
  <c r="G2170" i="20"/>
  <c r="G2171" i="20"/>
  <c r="G2172" i="20"/>
  <c r="G2173" i="20"/>
  <c r="G2174" i="20"/>
  <c r="G2175" i="20"/>
  <c r="G2176" i="20"/>
  <c r="G2177" i="20"/>
  <c r="G2178" i="20"/>
  <c r="G2179" i="20"/>
  <c r="G2180" i="20"/>
  <c r="G2181" i="20"/>
  <c r="G2182" i="20"/>
  <c r="G2183" i="20"/>
  <c r="G2184" i="20"/>
  <c r="G2185" i="20"/>
  <c r="G2186" i="20"/>
  <c r="G2187" i="20"/>
  <c r="G2188" i="20"/>
  <c r="G2189" i="20"/>
  <c r="G2190" i="20"/>
  <c r="G2191" i="20"/>
  <c r="G2192" i="20"/>
  <c r="G2193" i="20"/>
  <c r="G2194" i="20"/>
  <c r="G2195" i="20"/>
  <c r="G2196" i="20"/>
  <c r="G2197" i="20"/>
  <c r="G2198" i="20"/>
  <c r="G2199" i="20"/>
  <c r="G2200" i="20"/>
  <c r="G2201" i="20"/>
  <c r="G2202" i="20"/>
  <c r="G2203" i="20"/>
  <c r="G2204" i="20"/>
  <c r="G2205" i="20"/>
  <c r="G2206" i="20"/>
  <c r="G2207" i="20"/>
  <c r="G2208" i="20"/>
  <c r="G2209" i="20"/>
  <c r="G2210" i="20"/>
  <c r="G2211" i="20"/>
  <c r="G2212" i="20"/>
  <c r="G2213" i="20"/>
  <c r="G2214" i="20"/>
  <c r="G2215" i="20"/>
  <c r="G2216" i="20"/>
  <c r="G2217" i="20"/>
  <c r="G2218" i="20"/>
  <c r="G2219" i="20"/>
  <c r="G2220" i="20"/>
  <c r="G2221" i="20"/>
  <c r="G2222" i="20"/>
  <c r="G2223" i="20"/>
  <c r="G2224" i="20"/>
  <c r="G2225" i="20"/>
  <c r="G2226" i="20"/>
  <c r="G2227" i="20"/>
  <c r="G2228" i="20"/>
  <c r="G2229" i="20"/>
  <c r="G2230" i="20"/>
  <c r="G2231" i="20"/>
  <c r="G2232" i="20"/>
  <c r="G2233" i="20"/>
  <c r="G2234" i="20"/>
  <c r="G2235" i="20"/>
  <c r="G2236" i="20"/>
  <c r="G2237" i="20"/>
  <c r="G2238" i="20"/>
  <c r="G2239" i="20"/>
  <c r="G2240" i="20"/>
  <c r="G2241" i="20"/>
  <c r="G2242" i="20"/>
  <c r="G2243" i="20"/>
  <c r="G2244" i="20"/>
  <c r="G2245" i="20"/>
  <c r="G2246" i="20"/>
  <c r="G2247" i="20"/>
  <c r="G2248" i="20"/>
  <c r="G2249" i="20"/>
  <c r="G2250" i="20"/>
  <c r="G2251" i="20"/>
  <c r="G2252" i="20"/>
  <c r="G2253" i="20"/>
  <c r="G2254" i="20"/>
  <c r="G2255" i="20"/>
  <c r="G2256" i="20"/>
  <c r="G2257" i="20"/>
  <c r="G2258" i="20"/>
  <c r="G2259" i="20"/>
  <c r="G2260" i="20"/>
  <c r="G2261" i="20"/>
  <c r="G2262" i="20"/>
  <c r="G2263" i="20"/>
  <c r="G2264" i="20"/>
  <c r="G2265" i="20"/>
  <c r="G2266" i="20"/>
  <c r="G2267" i="20"/>
  <c r="G2268" i="20"/>
  <c r="G2269" i="20"/>
  <c r="G2270" i="20"/>
  <c r="G2271" i="20"/>
  <c r="G2272" i="20"/>
  <c r="G2273" i="20"/>
  <c r="G2274" i="20"/>
  <c r="G2275" i="20"/>
  <c r="G2276" i="20"/>
  <c r="G2277" i="20"/>
  <c r="G2278" i="20"/>
  <c r="G2279" i="20"/>
  <c r="G2280" i="20"/>
  <c r="G2281" i="20"/>
  <c r="G2282" i="20"/>
  <c r="G2283" i="20"/>
  <c r="G2284" i="20"/>
  <c r="G2285" i="20"/>
  <c r="G2286" i="20"/>
  <c r="G2287" i="20"/>
  <c r="G2288" i="20"/>
  <c r="G2289" i="20"/>
  <c r="G2290" i="20"/>
  <c r="G2291" i="20"/>
  <c r="G2292" i="20"/>
  <c r="G2293" i="20"/>
  <c r="G2294" i="20"/>
  <c r="G2295" i="20"/>
  <c r="G2296" i="20"/>
  <c r="G2297" i="20"/>
  <c r="G2298" i="20"/>
  <c r="G2299" i="20"/>
  <c r="G2300" i="20"/>
  <c r="G2301" i="20"/>
  <c r="G2302" i="20"/>
  <c r="G2303" i="20"/>
  <c r="G2304" i="20"/>
  <c r="G2305" i="20"/>
  <c r="G2306" i="20"/>
  <c r="G2307" i="20"/>
  <c r="G2308" i="20"/>
  <c r="G2309" i="20"/>
  <c r="G2310" i="20"/>
  <c r="G2311" i="20"/>
  <c r="G2312" i="20"/>
  <c r="G2313" i="20"/>
  <c r="G2314" i="20"/>
  <c r="G2315" i="20"/>
  <c r="G2316" i="20"/>
  <c r="G2317" i="20"/>
  <c r="G2318" i="20"/>
  <c r="G2319" i="20"/>
  <c r="G2320" i="20"/>
  <c r="G2321" i="20"/>
  <c r="G2322" i="20"/>
  <c r="G2323" i="20"/>
  <c r="G2324" i="20"/>
  <c r="G2325" i="20"/>
  <c r="G2326" i="20"/>
  <c r="G2327" i="20"/>
  <c r="G2328" i="20"/>
  <c r="G2329" i="20"/>
  <c r="G2330" i="20"/>
  <c r="G2331" i="20"/>
  <c r="G2332" i="20"/>
  <c r="G2333" i="20"/>
  <c r="G2334" i="20"/>
  <c r="G2335" i="20"/>
  <c r="G2336" i="20"/>
  <c r="G2337" i="20"/>
  <c r="G2338" i="20"/>
  <c r="G2339" i="20"/>
  <c r="G2340" i="20"/>
  <c r="G2341" i="20"/>
  <c r="G2342" i="20"/>
  <c r="G2343" i="20"/>
  <c r="G2344" i="20"/>
  <c r="G2345" i="20"/>
  <c r="G2346" i="20"/>
  <c r="G2347" i="20"/>
  <c r="G2348" i="20"/>
  <c r="G2349" i="20"/>
  <c r="G2350" i="20"/>
  <c r="G2351" i="20"/>
  <c r="G2352" i="20"/>
  <c r="G2353" i="20"/>
  <c r="G2354" i="20"/>
  <c r="G2355" i="20"/>
  <c r="G2356" i="20"/>
  <c r="G2357" i="20"/>
  <c r="G2358" i="20"/>
  <c r="G2359" i="20"/>
  <c r="G2360" i="20"/>
  <c r="G2361" i="20"/>
  <c r="G2362" i="20"/>
  <c r="G2363" i="20"/>
  <c r="G2364" i="20"/>
  <c r="G2365" i="20"/>
  <c r="G2366" i="20"/>
  <c r="G2367" i="20"/>
  <c r="G2368" i="20"/>
  <c r="G2369" i="20"/>
  <c r="G2370" i="20"/>
  <c r="G2371" i="20"/>
  <c r="G2372" i="20"/>
  <c r="G2373" i="20"/>
  <c r="G2374" i="20"/>
  <c r="G2375" i="20"/>
  <c r="G2376" i="20"/>
  <c r="G2377" i="20"/>
  <c r="G2378" i="20"/>
  <c r="G2379" i="20"/>
  <c r="G2380" i="20"/>
  <c r="G2381" i="20"/>
  <c r="G2382" i="20"/>
  <c r="G2383" i="20"/>
  <c r="G2384" i="20"/>
  <c r="G2385" i="20"/>
  <c r="G2386" i="20"/>
  <c r="G2387" i="20"/>
  <c r="G2388" i="20"/>
  <c r="G2389" i="20"/>
  <c r="G2390" i="20"/>
  <c r="G2391" i="20"/>
  <c r="G2392" i="20"/>
  <c r="G2393" i="20"/>
  <c r="G2394" i="20"/>
  <c r="G2395" i="20"/>
  <c r="G2396" i="20"/>
  <c r="G2397" i="20"/>
  <c r="G2398" i="20"/>
  <c r="G2399" i="20"/>
  <c r="G2400" i="20"/>
  <c r="G2401" i="20"/>
  <c r="G2402" i="20"/>
  <c r="G2403" i="20"/>
  <c r="G2404" i="20"/>
  <c r="G2405" i="20"/>
  <c r="G2406" i="20"/>
  <c r="G2407" i="20"/>
  <c r="G2408" i="20"/>
  <c r="G2409" i="20"/>
  <c r="G2410" i="20"/>
  <c r="G2411" i="20"/>
  <c r="G2412" i="20"/>
  <c r="G2413" i="20"/>
  <c r="G2414" i="20"/>
  <c r="G2415" i="20"/>
  <c r="G2416" i="20"/>
  <c r="G2417" i="20"/>
  <c r="G2418" i="20"/>
  <c r="G2419" i="20"/>
  <c r="G2420" i="20"/>
  <c r="G2421" i="20"/>
  <c r="G2422" i="20"/>
  <c r="G2423" i="20"/>
  <c r="G2424" i="20"/>
  <c r="G2425" i="20"/>
  <c r="G2426" i="20"/>
  <c r="G2427" i="20"/>
  <c r="G2428" i="20"/>
  <c r="G2429" i="20"/>
  <c r="G2430" i="20"/>
  <c r="G2431" i="20"/>
  <c r="G2432" i="20"/>
  <c r="G2433" i="20"/>
  <c r="G2434" i="20"/>
  <c r="G2435" i="20"/>
  <c r="G2436" i="20"/>
  <c r="G2437" i="20"/>
  <c r="G2438" i="20"/>
  <c r="G2439" i="20"/>
  <c r="G2440" i="20"/>
  <c r="G2441" i="20"/>
  <c r="G2442" i="20"/>
  <c r="G2443" i="20"/>
  <c r="G2444" i="20"/>
  <c r="G2445" i="20"/>
  <c r="G2446" i="20"/>
  <c r="G2447" i="20"/>
  <c r="G2448" i="20"/>
  <c r="G2449" i="20"/>
  <c r="G2450" i="20"/>
  <c r="G2451" i="20"/>
  <c r="G2452" i="20"/>
  <c r="G2453" i="20"/>
  <c r="G2454" i="20"/>
  <c r="G2455" i="20"/>
  <c r="G2456" i="20"/>
  <c r="G2457" i="20"/>
  <c r="G2458" i="20"/>
  <c r="G2459" i="20"/>
  <c r="G2460" i="20"/>
  <c r="G2461" i="20"/>
  <c r="G2462" i="20"/>
  <c r="G2463" i="20"/>
  <c r="G2464" i="20"/>
  <c r="G2465" i="20"/>
  <c r="G2466" i="20"/>
  <c r="G2467" i="20"/>
  <c r="G2468" i="20"/>
  <c r="G2469" i="20"/>
  <c r="G2470" i="20"/>
  <c r="G2471" i="20"/>
  <c r="G2472" i="20"/>
  <c r="G2473" i="20"/>
  <c r="G2474" i="20"/>
  <c r="G2475" i="20"/>
  <c r="G2476" i="20"/>
  <c r="G2477" i="20"/>
  <c r="G2478" i="20"/>
  <c r="G2479" i="20"/>
  <c r="G2480" i="20"/>
  <c r="G2481" i="20"/>
  <c r="G2482" i="20"/>
  <c r="G2483" i="20"/>
  <c r="G2484" i="20"/>
  <c r="G2485" i="20"/>
  <c r="G2486" i="20"/>
  <c r="G2487" i="20"/>
  <c r="G2488" i="20"/>
  <c r="G2489" i="20"/>
  <c r="G2490" i="20"/>
  <c r="G2491" i="20"/>
  <c r="G2492" i="20"/>
  <c r="G2493" i="20"/>
  <c r="G2494" i="20"/>
  <c r="G2495" i="20"/>
  <c r="G2496" i="20"/>
  <c r="G2497" i="20"/>
  <c r="G2498" i="20"/>
  <c r="G2499" i="20"/>
  <c r="G2500" i="20"/>
  <c r="G2501" i="20"/>
  <c r="G2502" i="20"/>
  <c r="G2503" i="20"/>
  <c r="G2504" i="20"/>
  <c r="G2505" i="20"/>
  <c r="G2506" i="20"/>
  <c r="G2507" i="20"/>
  <c r="G2508" i="20"/>
  <c r="G2509" i="20"/>
  <c r="G2510" i="20"/>
  <c r="G2511" i="20"/>
  <c r="G2512" i="20"/>
  <c r="G2513" i="20"/>
  <c r="G2514" i="20"/>
  <c r="G2515" i="20"/>
  <c r="G2516" i="20"/>
  <c r="G2517" i="20"/>
  <c r="G2518" i="20"/>
  <c r="G2519" i="20"/>
  <c r="G2520" i="20"/>
  <c r="G2521" i="20"/>
  <c r="G2522" i="20"/>
  <c r="G2523" i="20"/>
  <c r="G2524" i="20"/>
  <c r="G2525" i="20"/>
  <c r="G2526" i="20"/>
  <c r="G2527" i="20"/>
  <c r="G2528" i="20"/>
  <c r="G2529" i="20"/>
  <c r="G2530" i="20"/>
  <c r="G2531" i="20"/>
  <c r="G2532" i="20"/>
  <c r="G2533" i="20"/>
  <c r="G2534" i="20"/>
  <c r="G2535" i="20"/>
  <c r="G2536" i="20"/>
  <c r="G2537" i="20"/>
  <c r="G2538" i="20"/>
  <c r="G2539" i="20"/>
  <c r="G2540" i="20"/>
  <c r="G2541" i="20"/>
  <c r="G2542" i="20"/>
  <c r="G2543" i="20"/>
  <c r="G2544" i="20"/>
  <c r="G2545" i="20"/>
  <c r="G2546" i="20"/>
  <c r="G2547" i="20"/>
  <c r="G2548" i="20"/>
  <c r="G2549" i="20"/>
  <c r="G2550" i="20"/>
  <c r="G2551" i="20"/>
  <c r="G2552" i="20"/>
  <c r="G2553" i="20"/>
  <c r="G2554" i="20"/>
  <c r="G2555" i="20"/>
  <c r="G2556" i="20"/>
  <c r="G2557" i="20"/>
  <c r="G2558" i="20"/>
  <c r="G2559" i="20"/>
  <c r="G2560" i="20"/>
  <c r="G2561" i="20"/>
  <c r="G2562" i="20"/>
  <c r="G2563" i="20"/>
  <c r="G2564" i="20"/>
  <c r="G2565" i="20"/>
  <c r="G2566" i="20"/>
  <c r="G2567" i="20"/>
  <c r="G2568" i="20"/>
  <c r="G2569" i="20"/>
  <c r="G2570" i="20"/>
  <c r="G2571" i="20"/>
  <c r="G2572" i="20"/>
  <c r="G2573" i="20"/>
  <c r="G2574" i="20"/>
  <c r="G2575" i="20"/>
  <c r="G2576" i="20"/>
  <c r="G2577" i="20"/>
  <c r="G2578" i="20"/>
  <c r="G2579" i="20"/>
  <c r="G2580" i="20"/>
  <c r="G2581" i="20"/>
  <c r="G2582" i="20"/>
  <c r="G2583" i="20"/>
  <c r="G2584" i="20"/>
  <c r="G2585" i="20"/>
  <c r="G2586" i="20"/>
  <c r="G2587" i="20"/>
  <c r="G2588" i="20"/>
  <c r="G2589" i="20"/>
  <c r="G2590" i="20"/>
  <c r="G2591" i="20"/>
  <c r="G2592" i="20"/>
  <c r="G2593" i="20"/>
  <c r="G2594" i="20"/>
  <c r="G2595" i="20"/>
  <c r="G2596" i="20"/>
  <c r="G2597" i="20"/>
  <c r="G2598" i="20"/>
  <c r="G2599" i="20"/>
  <c r="G2600" i="20"/>
  <c r="G2601" i="20"/>
  <c r="G2602" i="20"/>
  <c r="G2603" i="20"/>
  <c r="G2604" i="20"/>
  <c r="G2605" i="20"/>
  <c r="G2606" i="20"/>
  <c r="G2607" i="20"/>
  <c r="G2608" i="20"/>
  <c r="G2609" i="20"/>
  <c r="G2610" i="20"/>
  <c r="G2611" i="20"/>
  <c r="G2612" i="20"/>
  <c r="G2613" i="20"/>
  <c r="G2614" i="20"/>
  <c r="G2615" i="20"/>
  <c r="G2616" i="20"/>
  <c r="G2617" i="20"/>
  <c r="G2618" i="20"/>
  <c r="G2619" i="20"/>
  <c r="G2620" i="20"/>
  <c r="G2621" i="20"/>
  <c r="G2622" i="20"/>
  <c r="G2623" i="20"/>
  <c r="G2624" i="20"/>
  <c r="G2625" i="20"/>
  <c r="G2626" i="20"/>
  <c r="G2627" i="20"/>
  <c r="G2628" i="20"/>
  <c r="G2629" i="20"/>
  <c r="G2630" i="20"/>
  <c r="G2631" i="20"/>
  <c r="G2632" i="20"/>
  <c r="G2633" i="20"/>
  <c r="G2634" i="20"/>
  <c r="G2635" i="20"/>
  <c r="G2636" i="20"/>
  <c r="G2637" i="20"/>
  <c r="G2638" i="20"/>
  <c r="G2639" i="20"/>
  <c r="G2640" i="20"/>
  <c r="G2641" i="20"/>
  <c r="G2642" i="20"/>
  <c r="G2643" i="20"/>
  <c r="G2644" i="20"/>
  <c r="G2645" i="20"/>
  <c r="G2646" i="20"/>
  <c r="G2647" i="20"/>
  <c r="G2648" i="20"/>
  <c r="G2649" i="20"/>
  <c r="G2650" i="20"/>
  <c r="G2651" i="20"/>
  <c r="G2652" i="20"/>
  <c r="G2653" i="20"/>
  <c r="G2654" i="20"/>
  <c r="G2655" i="20"/>
  <c r="G2656" i="20"/>
  <c r="G2657" i="20"/>
  <c r="G2658" i="20"/>
  <c r="G2659" i="20"/>
  <c r="G2660" i="20"/>
  <c r="G2661" i="20"/>
  <c r="G2662" i="20"/>
  <c r="G2663" i="20"/>
  <c r="G2664" i="20"/>
  <c r="G2665" i="20"/>
  <c r="G2666" i="20"/>
  <c r="G2667" i="20"/>
  <c r="G2668" i="20"/>
  <c r="G2669" i="20"/>
  <c r="G2670" i="20"/>
  <c r="G2671" i="20"/>
  <c r="G2672" i="20"/>
  <c r="G2673" i="20"/>
  <c r="G2674" i="20"/>
  <c r="G2675" i="20"/>
  <c r="G2676" i="20"/>
  <c r="G2677" i="20"/>
  <c r="G2678" i="20"/>
  <c r="G2679" i="20"/>
  <c r="G2680" i="20"/>
  <c r="G2681" i="20"/>
  <c r="G2682" i="20"/>
  <c r="G2683" i="20"/>
  <c r="G2684" i="20"/>
  <c r="G2685" i="20"/>
  <c r="G2686" i="20"/>
  <c r="G2687" i="20"/>
  <c r="G2688" i="20"/>
  <c r="G2689" i="20"/>
  <c r="G2690" i="20"/>
  <c r="G2691" i="20"/>
  <c r="G2692" i="20"/>
  <c r="G2693" i="20"/>
  <c r="G2694" i="20"/>
  <c r="G2695" i="20"/>
  <c r="G2696" i="20"/>
  <c r="G2697" i="20"/>
  <c r="G2698" i="20"/>
  <c r="G2699" i="20"/>
  <c r="G2700" i="20"/>
  <c r="G2701" i="20"/>
  <c r="G2702" i="20"/>
  <c r="G2703" i="20"/>
  <c r="G2704" i="20"/>
  <c r="G2705" i="20"/>
  <c r="G2706" i="20"/>
  <c r="G2707" i="20"/>
  <c r="G2708" i="20"/>
  <c r="G2709" i="20"/>
  <c r="G2710" i="20"/>
  <c r="G2711" i="20"/>
  <c r="G2712" i="20"/>
  <c r="G2713" i="20"/>
  <c r="G2714" i="20"/>
  <c r="G2715" i="20"/>
  <c r="G2716" i="20"/>
  <c r="G2717" i="20"/>
  <c r="G2718" i="20"/>
  <c r="G2719" i="20"/>
  <c r="G2720" i="20"/>
  <c r="G2721" i="20"/>
  <c r="G2722" i="20"/>
  <c r="G2723" i="20"/>
  <c r="G2724" i="20"/>
  <c r="G2725" i="20"/>
  <c r="G2726" i="20"/>
  <c r="G2727" i="20"/>
  <c r="G2728" i="20"/>
  <c r="G2729" i="20"/>
  <c r="G2730" i="20"/>
  <c r="G2731" i="20"/>
  <c r="G2732" i="20"/>
  <c r="G2733" i="20"/>
  <c r="G2734" i="20"/>
  <c r="G2735" i="20"/>
  <c r="G2736" i="20"/>
  <c r="G2737" i="20"/>
  <c r="G2738" i="20"/>
  <c r="G2739" i="20"/>
  <c r="G2740" i="20"/>
  <c r="G2741" i="20"/>
  <c r="G2742" i="20"/>
  <c r="G2743" i="20"/>
  <c r="G2744" i="20"/>
  <c r="G2745" i="20"/>
  <c r="G2746" i="20"/>
  <c r="G2747" i="20"/>
  <c r="G2748" i="20"/>
  <c r="G2749" i="20"/>
  <c r="G2750" i="20"/>
  <c r="G2751" i="20"/>
  <c r="G2752" i="20"/>
  <c r="G2753" i="20"/>
  <c r="G2754" i="20"/>
  <c r="G2755" i="20"/>
  <c r="G2756" i="20"/>
  <c r="G2757" i="20"/>
  <c r="G2758" i="20"/>
  <c r="G2759" i="20"/>
  <c r="G2760" i="20"/>
  <c r="G2761" i="20"/>
  <c r="G2762" i="20"/>
  <c r="G2763" i="20"/>
  <c r="G2764" i="20"/>
  <c r="G2765" i="20"/>
  <c r="G2766" i="20"/>
  <c r="G2767" i="20"/>
  <c r="G2768" i="20"/>
  <c r="G2769" i="20"/>
  <c r="G2770" i="20"/>
  <c r="G2771" i="20"/>
  <c r="G2772" i="20"/>
  <c r="G2773" i="20"/>
  <c r="G2774" i="20"/>
  <c r="G2775" i="20"/>
  <c r="G2776" i="20"/>
  <c r="G2777" i="20"/>
  <c r="G2778" i="20"/>
  <c r="G2779" i="20"/>
  <c r="G2780" i="20"/>
  <c r="G2781" i="20"/>
  <c r="G2782" i="20"/>
  <c r="G2783" i="20"/>
  <c r="G2784" i="20"/>
  <c r="G2785" i="20"/>
  <c r="G2786" i="20"/>
  <c r="G2787" i="20"/>
  <c r="G2788" i="20"/>
  <c r="G2789" i="20"/>
  <c r="G2790" i="20"/>
  <c r="G2791" i="20"/>
  <c r="G2792" i="20"/>
  <c r="G2793" i="20"/>
  <c r="G2794" i="20"/>
  <c r="G2795" i="20"/>
  <c r="G2796" i="20"/>
  <c r="G2797" i="20"/>
  <c r="G2798" i="20"/>
  <c r="G2799" i="20"/>
  <c r="G2800" i="20"/>
  <c r="G2801" i="20"/>
  <c r="G2802" i="20"/>
  <c r="G2803" i="20"/>
  <c r="G2804" i="20"/>
  <c r="G2805" i="20"/>
  <c r="G2806" i="20"/>
  <c r="G2807" i="20"/>
  <c r="G2808" i="20"/>
  <c r="G2809" i="20"/>
  <c r="G2810" i="20"/>
  <c r="G2811" i="20"/>
  <c r="G2812" i="20"/>
  <c r="G2813" i="20"/>
  <c r="G2814" i="20"/>
  <c r="G2815" i="20"/>
  <c r="G2816" i="20"/>
  <c r="G2817" i="20"/>
  <c r="G2818" i="20"/>
  <c r="G2819" i="20"/>
  <c r="G2820" i="20"/>
  <c r="G2821" i="20"/>
  <c r="G2822" i="20"/>
  <c r="G2823" i="20"/>
  <c r="G2824" i="20"/>
  <c r="G2825" i="20"/>
  <c r="G2826" i="20"/>
  <c r="G2827" i="20"/>
  <c r="G2828" i="20"/>
  <c r="G2829" i="20"/>
  <c r="G2830" i="20"/>
  <c r="G2831" i="20"/>
  <c r="G2832" i="20"/>
  <c r="G2833" i="20"/>
  <c r="G2834" i="20"/>
  <c r="G2835" i="20"/>
  <c r="G2836" i="20"/>
  <c r="G2837" i="20"/>
  <c r="G2838" i="20"/>
  <c r="G2839" i="20"/>
  <c r="G2840" i="20"/>
  <c r="G2841" i="20"/>
  <c r="G2842" i="20"/>
  <c r="G2843" i="20"/>
  <c r="G2844" i="20"/>
  <c r="G2845" i="20"/>
  <c r="G2846" i="20"/>
  <c r="G2847" i="20"/>
  <c r="G2848" i="20"/>
  <c r="G2849" i="20"/>
  <c r="G2850" i="20"/>
  <c r="G2851" i="20"/>
  <c r="G2852" i="20"/>
  <c r="G2853" i="20"/>
  <c r="G2854" i="20"/>
  <c r="G2855" i="20"/>
  <c r="G2856" i="20"/>
  <c r="G2857" i="20"/>
  <c r="G2858" i="20"/>
  <c r="G2859" i="20"/>
  <c r="G2860" i="20"/>
  <c r="G2861" i="20"/>
  <c r="G2862" i="20"/>
  <c r="G2863" i="20"/>
  <c r="G2864" i="20"/>
  <c r="G2865" i="20"/>
  <c r="G2866" i="20"/>
  <c r="G2867" i="20"/>
  <c r="G2868" i="20"/>
  <c r="G2869" i="20"/>
  <c r="G2870" i="20"/>
  <c r="G2871" i="20"/>
  <c r="G2872" i="20"/>
  <c r="G2873" i="20"/>
  <c r="G2874" i="20"/>
  <c r="G2875" i="20"/>
  <c r="G2876" i="20"/>
  <c r="G2877" i="20"/>
  <c r="G2878" i="20"/>
  <c r="G2879" i="20"/>
  <c r="G2880" i="20"/>
  <c r="G2881" i="20"/>
  <c r="G2882" i="20"/>
  <c r="G2883" i="20"/>
  <c r="G2884" i="20"/>
  <c r="G2885" i="20"/>
  <c r="G2886" i="20"/>
  <c r="G2887" i="20"/>
  <c r="G2888" i="20"/>
  <c r="G2889" i="20"/>
  <c r="G2890" i="20"/>
  <c r="G2891" i="20"/>
  <c r="G2892" i="20"/>
  <c r="G2893" i="20"/>
  <c r="G2894" i="20"/>
  <c r="G2895" i="20"/>
  <c r="G2896" i="20"/>
  <c r="G2897" i="20"/>
  <c r="G2898" i="20"/>
  <c r="G2899" i="20"/>
  <c r="G2900" i="20"/>
  <c r="G2901" i="20"/>
  <c r="G2902" i="20"/>
  <c r="G2903" i="20"/>
  <c r="G2904" i="20"/>
  <c r="G2905" i="20"/>
  <c r="G2906" i="20"/>
  <c r="G2907" i="20"/>
  <c r="G2908" i="20"/>
  <c r="G2909" i="20"/>
  <c r="G2910" i="20"/>
  <c r="G2911" i="20"/>
  <c r="G2912" i="20"/>
  <c r="G2913" i="20"/>
  <c r="G2914" i="20"/>
  <c r="G2915" i="20"/>
  <c r="G2916" i="20"/>
  <c r="G2917" i="20"/>
  <c r="G2918" i="20"/>
  <c r="G2919" i="20"/>
  <c r="G2920" i="20"/>
  <c r="G2921" i="20"/>
  <c r="G2922" i="20"/>
  <c r="G2923" i="20"/>
  <c r="G2924" i="20"/>
  <c r="G2925" i="20"/>
  <c r="G2926" i="20"/>
  <c r="G2927" i="20"/>
  <c r="G2928" i="20"/>
  <c r="G2929" i="20"/>
  <c r="G2930" i="20"/>
  <c r="G2931" i="20"/>
  <c r="G2932" i="20"/>
  <c r="G2933" i="20"/>
  <c r="G2934" i="20"/>
  <c r="G2935" i="20"/>
  <c r="G2936" i="20"/>
  <c r="G2937" i="20"/>
  <c r="G2938" i="20"/>
  <c r="G2939" i="20"/>
  <c r="G2940" i="20"/>
  <c r="G2941" i="20"/>
  <c r="G2942" i="20"/>
  <c r="G2943" i="20"/>
  <c r="G2944" i="20"/>
  <c r="G2945" i="20"/>
  <c r="G2946" i="20"/>
  <c r="G2947" i="20"/>
  <c r="G2948" i="20"/>
  <c r="G2949" i="20"/>
  <c r="G2950" i="20"/>
  <c r="G2951" i="20"/>
  <c r="G2952" i="20"/>
  <c r="G2953" i="20"/>
  <c r="G2954" i="20"/>
  <c r="G2955" i="20"/>
  <c r="G2956" i="20"/>
  <c r="G2957" i="20"/>
  <c r="G2958" i="20"/>
  <c r="G2959" i="20"/>
  <c r="G2960" i="20"/>
  <c r="G2961" i="20"/>
  <c r="G2962" i="20"/>
  <c r="G2963" i="20"/>
  <c r="G2964" i="20"/>
  <c r="G2965" i="20"/>
  <c r="G2966" i="20"/>
  <c r="G2967" i="20"/>
  <c r="G2968" i="20"/>
  <c r="G2969" i="20"/>
  <c r="G2970" i="20"/>
  <c r="G2971" i="20"/>
  <c r="G2972" i="20"/>
  <c r="G2973" i="20"/>
  <c r="G2974" i="20"/>
  <c r="G2975" i="20"/>
  <c r="G2976" i="20"/>
  <c r="G2977" i="20"/>
  <c r="G2978" i="20"/>
  <c r="G2979" i="20"/>
  <c r="G2980" i="20"/>
  <c r="G2981" i="20"/>
  <c r="G2982" i="20"/>
  <c r="G2983" i="20"/>
  <c r="G2984" i="20"/>
  <c r="G2985" i="20"/>
  <c r="G2986" i="20"/>
  <c r="G2987" i="20"/>
  <c r="G2988" i="20"/>
  <c r="G2989" i="20"/>
  <c r="G2990" i="20"/>
  <c r="G2991" i="20"/>
  <c r="G2992" i="20"/>
  <c r="G2993" i="20"/>
  <c r="G2994" i="20"/>
  <c r="G2995" i="20"/>
  <c r="G2996" i="20"/>
  <c r="G2997" i="20"/>
  <c r="G2998" i="20"/>
  <c r="G2999" i="20"/>
  <c r="G3000" i="20"/>
  <c r="I16" i="29" l="1"/>
  <c r="AJ36" i="2"/>
  <c r="AJ25" i="2"/>
  <c r="AJ22" i="2"/>
  <c r="AJ15" i="2"/>
  <c r="AJ7" i="2"/>
  <c r="AJ5" i="2"/>
  <c r="AJ38" i="2"/>
  <c r="AJ34" i="2"/>
  <c r="AJ30" i="2"/>
  <c r="AJ26" i="2"/>
  <c r="AJ21" i="2"/>
  <c r="AJ20" i="2"/>
  <c r="AJ19" i="2"/>
  <c r="AJ18" i="2"/>
  <c r="AJ17" i="2"/>
  <c r="AJ16" i="2"/>
  <c r="AJ12" i="2"/>
  <c r="AJ9" i="2"/>
  <c r="AJ4" i="2"/>
  <c r="AJ37" i="2"/>
  <c r="AJ33" i="2"/>
  <c r="AJ32" i="2"/>
  <c r="AJ31" i="2"/>
  <c r="AJ29" i="2"/>
  <c r="AJ28" i="2"/>
  <c r="AJ11" i="2"/>
  <c r="AJ10" i="2"/>
  <c r="AJ8" i="2"/>
  <c r="AJ6" i="2"/>
  <c r="AJ35" i="2"/>
  <c r="AJ27" i="2"/>
  <c r="AJ24" i="2"/>
  <c r="AJ23" i="2"/>
  <c r="AJ14" i="2"/>
  <c r="AJ13" i="2"/>
  <c r="AJ3" i="2"/>
  <c r="E917" i="20"/>
  <c r="E918" i="20"/>
  <c r="E919" i="20"/>
  <c r="E920" i="20"/>
  <c r="E921" i="20"/>
  <c r="E922" i="20"/>
  <c r="E923" i="20"/>
  <c r="E924" i="20"/>
  <c r="E925" i="20"/>
  <c r="E926" i="20"/>
  <c r="E927" i="20"/>
  <c r="E928" i="20"/>
  <c r="E929" i="20"/>
  <c r="E930" i="20"/>
  <c r="E931" i="20"/>
  <c r="E932" i="20"/>
  <c r="E933" i="20"/>
  <c r="E934" i="20"/>
  <c r="E935" i="20"/>
  <c r="E936" i="20"/>
  <c r="E937" i="20"/>
  <c r="E938" i="20"/>
  <c r="E939" i="20"/>
  <c r="E940" i="20"/>
  <c r="E941" i="20"/>
  <c r="E942" i="20"/>
  <c r="E943" i="20"/>
  <c r="E944" i="20"/>
  <c r="E945" i="20"/>
  <c r="E946" i="20"/>
  <c r="E947" i="20"/>
  <c r="E948" i="20"/>
  <c r="E949" i="20"/>
  <c r="E950" i="20"/>
  <c r="E951" i="20"/>
  <c r="E952" i="20"/>
  <c r="E953" i="20"/>
  <c r="E954" i="20"/>
  <c r="E955" i="20"/>
  <c r="E956" i="20"/>
  <c r="E957" i="20"/>
  <c r="E958" i="20"/>
  <c r="E959" i="20"/>
  <c r="E960" i="20"/>
  <c r="E961" i="20"/>
  <c r="E962" i="20"/>
  <c r="E963" i="20"/>
  <c r="E964" i="20"/>
  <c r="E965" i="20"/>
  <c r="E966" i="20"/>
  <c r="E967" i="20"/>
  <c r="E968" i="20"/>
  <c r="E969" i="20"/>
  <c r="E970" i="20"/>
  <c r="E971" i="20"/>
  <c r="E972" i="20"/>
  <c r="E973" i="20"/>
  <c r="E974" i="20"/>
  <c r="E975" i="20"/>
  <c r="E976" i="20"/>
  <c r="E977" i="20"/>
  <c r="E978" i="20"/>
  <c r="E979" i="20"/>
  <c r="E980" i="20"/>
  <c r="E981" i="20"/>
  <c r="E982" i="20"/>
  <c r="E983" i="20"/>
  <c r="E984" i="20"/>
  <c r="E985" i="20"/>
  <c r="E986" i="20"/>
  <c r="E987" i="20"/>
  <c r="E988" i="20"/>
  <c r="E989" i="20"/>
  <c r="E990" i="20"/>
  <c r="E991" i="20"/>
  <c r="E992" i="20"/>
  <c r="E993" i="20"/>
  <c r="E994" i="20"/>
  <c r="E995" i="20"/>
  <c r="E996" i="20"/>
  <c r="E997" i="20"/>
  <c r="E998" i="20"/>
  <c r="E999" i="20"/>
  <c r="E1000" i="20"/>
  <c r="E1001" i="20"/>
  <c r="E1002" i="20"/>
  <c r="E1003" i="20"/>
  <c r="E1004" i="20"/>
  <c r="E1005" i="20"/>
  <c r="E914" i="20"/>
  <c r="E915" i="20"/>
  <c r="E916" i="20"/>
  <c r="E845" i="20"/>
  <c r="E846" i="20"/>
  <c r="E847" i="20"/>
  <c r="E848" i="20"/>
  <c r="E849" i="20"/>
  <c r="E850" i="20"/>
  <c r="E851" i="20"/>
  <c r="E852" i="20"/>
  <c r="E853" i="20"/>
  <c r="E854" i="20"/>
  <c r="E855" i="20"/>
  <c r="E856" i="20"/>
  <c r="E857" i="20"/>
  <c r="E858" i="20"/>
  <c r="E859" i="20"/>
  <c r="E860" i="20"/>
  <c r="E861" i="20"/>
  <c r="E862" i="20"/>
  <c r="E863" i="20"/>
  <c r="E864" i="20"/>
  <c r="E865" i="20"/>
  <c r="E866" i="20"/>
  <c r="E867" i="20"/>
  <c r="E868" i="20"/>
  <c r="E869" i="20"/>
  <c r="E870" i="20"/>
  <c r="E871" i="20"/>
  <c r="E872" i="20"/>
  <c r="E873" i="20"/>
  <c r="E874" i="20"/>
  <c r="E875" i="20"/>
  <c r="E876" i="20"/>
  <c r="E877" i="20"/>
  <c r="E878" i="20"/>
  <c r="E879" i="20"/>
  <c r="E880" i="20"/>
  <c r="E881" i="20"/>
  <c r="E882" i="20"/>
  <c r="E883" i="20"/>
  <c r="E884" i="20"/>
  <c r="E885" i="20"/>
  <c r="E886" i="20"/>
  <c r="E887" i="20"/>
  <c r="E888" i="20"/>
  <c r="E889" i="20"/>
  <c r="E890" i="20"/>
  <c r="E891" i="20"/>
  <c r="E892" i="20"/>
  <c r="E893" i="20"/>
  <c r="E894" i="20"/>
  <c r="E895" i="20"/>
  <c r="E896" i="20"/>
  <c r="E897" i="20"/>
  <c r="E898" i="20"/>
  <c r="E899" i="20"/>
  <c r="E900" i="20"/>
  <c r="E901" i="20"/>
  <c r="E902" i="20"/>
  <c r="E903" i="20"/>
  <c r="E904" i="20"/>
  <c r="E905" i="20"/>
  <c r="E906" i="20"/>
  <c r="E907" i="20"/>
  <c r="E908" i="20"/>
  <c r="E909" i="20"/>
  <c r="E910" i="20"/>
  <c r="E911" i="20"/>
  <c r="E912" i="20"/>
  <c r="E913" i="20"/>
  <c r="H917" i="20"/>
  <c r="H3" i="20"/>
  <c r="H918" i="20"/>
  <c r="H919" i="20"/>
  <c r="H10" i="20"/>
  <c r="H920" i="20"/>
  <c r="H16" i="20"/>
  <c r="H21" i="20"/>
  <c r="H12" i="20"/>
  <c r="H15" i="20"/>
  <c r="H921" i="20"/>
  <c r="H19" i="20"/>
  <c r="H922" i="20"/>
  <c r="H923" i="20"/>
  <c r="H25" i="20"/>
  <c r="H17" i="20"/>
  <c r="H28" i="20"/>
  <c r="H34" i="20"/>
  <c r="H23" i="20"/>
  <c r="H24" i="20"/>
  <c r="H26" i="20"/>
  <c r="H4" i="20"/>
  <c r="H924" i="20"/>
  <c r="H834" i="20"/>
  <c r="H840" i="20"/>
  <c r="H925" i="20"/>
  <c r="H22" i="20"/>
  <c r="H29" i="20"/>
  <c r="H283" i="20"/>
  <c r="H30" i="20"/>
  <c r="H5" i="20"/>
  <c r="H293" i="20"/>
  <c r="H32" i="20"/>
  <c r="H303" i="20"/>
  <c r="H35" i="20"/>
  <c r="H926" i="20"/>
  <c r="H313" i="20"/>
  <c r="H563" i="20"/>
  <c r="H39" i="20"/>
  <c r="H36" i="20"/>
  <c r="H37" i="20"/>
  <c r="H38" i="20"/>
  <c r="H44" i="20"/>
  <c r="H326" i="20"/>
  <c r="H45" i="20"/>
  <c r="H337" i="20"/>
  <c r="H352" i="20"/>
  <c r="H927" i="20"/>
  <c r="H41" i="20"/>
  <c r="H46" i="20"/>
  <c r="H42" i="20"/>
  <c r="H49" i="20"/>
  <c r="H50" i="20"/>
  <c r="H52" i="20"/>
  <c r="H362" i="20"/>
  <c r="H53" i="20"/>
  <c r="H573" i="20"/>
  <c r="H583" i="20"/>
  <c r="H928" i="20"/>
  <c r="H48" i="20"/>
  <c r="H841" i="20"/>
  <c r="H40" i="20"/>
  <c r="H54" i="20"/>
  <c r="H55" i="20"/>
  <c r="H56" i="20"/>
  <c r="H57" i="20"/>
  <c r="H594" i="20"/>
  <c r="H607" i="20"/>
  <c r="H618" i="20"/>
  <c r="H929" i="20"/>
  <c r="H630" i="20"/>
  <c r="H47" i="20"/>
  <c r="H61" i="20"/>
  <c r="H62" i="20"/>
  <c r="H646" i="20"/>
  <c r="H349" i="20"/>
  <c r="H60" i="20"/>
  <c r="H69" i="20"/>
  <c r="H66" i="20"/>
  <c r="H6" i="20"/>
  <c r="H930" i="20"/>
  <c r="H11" i="20"/>
  <c r="H70" i="20"/>
  <c r="H64" i="20"/>
  <c r="H67" i="20"/>
  <c r="H75" i="20"/>
  <c r="H76" i="20"/>
  <c r="H77" i="20"/>
  <c r="H73" i="20"/>
  <c r="H78" i="20"/>
  <c r="H18" i="20"/>
  <c r="H74" i="20"/>
  <c r="H931" i="20"/>
  <c r="H79" i="20"/>
  <c r="H284" i="20"/>
  <c r="H81" i="20"/>
  <c r="H80" i="20"/>
  <c r="H65" i="20"/>
  <c r="H82" i="20"/>
  <c r="H83" i="20"/>
  <c r="H367" i="20"/>
  <c r="H84" i="20"/>
  <c r="H88" i="20"/>
  <c r="H92" i="20"/>
  <c r="H103" i="20"/>
  <c r="H932" i="20"/>
  <c r="H118" i="20"/>
  <c r="H71" i="20"/>
  <c r="H85" i="20"/>
  <c r="H93" i="20"/>
  <c r="H94" i="20"/>
  <c r="H95" i="20"/>
  <c r="H91" i="20"/>
  <c r="H96" i="20"/>
  <c r="H168" i="20"/>
  <c r="H175" i="20"/>
  <c r="H933" i="20"/>
  <c r="H564" i="20"/>
  <c r="H842" i="20"/>
  <c r="H72" i="20"/>
  <c r="H97" i="20"/>
  <c r="H98" i="20"/>
  <c r="H100" i="20"/>
  <c r="H183" i="20"/>
  <c r="H101" i="20"/>
  <c r="H218" i="20"/>
  <c r="H233" i="20"/>
  <c r="H934" i="20"/>
  <c r="H102" i="20"/>
  <c r="H104" i="20"/>
  <c r="H90" i="20"/>
  <c r="H106" i="20"/>
  <c r="H107" i="20"/>
  <c r="H108" i="20"/>
  <c r="H109" i="20"/>
  <c r="H105" i="20"/>
  <c r="H110" i="20"/>
  <c r="H243" i="20"/>
  <c r="H261" i="20"/>
  <c r="H935" i="20"/>
  <c r="H111" i="20"/>
  <c r="H115" i="20"/>
  <c r="H116" i="20"/>
  <c r="H112" i="20"/>
  <c r="H113" i="20"/>
  <c r="H120" i="20"/>
  <c r="H289" i="20"/>
  <c r="H121" i="20"/>
  <c r="H295" i="20"/>
  <c r="H301" i="20"/>
  <c r="H936" i="20"/>
  <c r="H307" i="20"/>
  <c r="H117" i="20"/>
  <c r="H123" i="20"/>
  <c r="H124" i="20"/>
  <c r="H125" i="20"/>
  <c r="H126" i="20"/>
  <c r="H312" i="20"/>
  <c r="H127" i="20"/>
  <c r="H318" i="20"/>
  <c r="H324" i="20"/>
  <c r="H937" i="20"/>
  <c r="H129" i="20"/>
  <c r="H128" i="20"/>
  <c r="H122" i="20"/>
  <c r="H130" i="20"/>
  <c r="H131" i="20"/>
  <c r="H137" i="20"/>
  <c r="H331" i="20"/>
  <c r="H138" i="20"/>
  <c r="H336" i="20"/>
  <c r="H341" i="20"/>
  <c r="H938" i="20"/>
  <c r="H347" i="20"/>
  <c r="H139" i="20"/>
  <c r="H135" i="20"/>
  <c r="H142" i="20"/>
  <c r="H143" i="20"/>
  <c r="H144" i="20"/>
  <c r="H145" i="20"/>
  <c r="H354" i="20"/>
  <c r="H146" i="20"/>
  <c r="H364" i="20"/>
  <c r="H141" i="20"/>
  <c r="H939" i="20"/>
  <c r="H147" i="20"/>
  <c r="H149" i="20"/>
  <c r="H148" i="20"/>
  <c r="H151" i="20"/>
  <c r="H152" i="20"/>
  <c r="H154" i="20"/>
  <c r="H150" i="20"/>
  <c r="H155" i="20"/>
  <c r="H372" i="20"/>
  <c r="H384" i="20"/>
  <c r="H940" i="20"/>
  <c r="H397" i="20"/>
  <c r="H133" i="20"/>
  <c r="H157" i="20"/>
  <c r="H158" i="20"/>
  <c r="H159" i="20"/>
  <c r="H160" i="20"/>
  <c r="H447" i="20"/>
  <c r="H161" i="20"/>
  <c r="H156" i="20"/>
  <c r="H163" i="20"/>
  <c r="H941" i="20"/>
  <c r="H461" i="20"/>
  <c r="H305" i="20"/>
  <c r="H164" i="20"/>
  <c r="H134" i="20"/>
  <c r="H905" i="20"/>
  <c r="H166" i="20"/>
  <c r="H496" i="20"/>
  <c r="H169" i="20"/>
  <c r="H512" i="20"/>
  <c r="H520" i="20"/>
  <c r="H942" i="20"/>
  <c r="H538" i="20"/>
  <c r="H173" i="20"/>
  <c r="H172" i="20"/>
  <c r="H140" i="20"/>
  <c r="H906" i="20"/>
  <c r="H176" i="20"/>
  <c r="H177" i="20"/>
  <c r="H174" i="20"/>
  <c r="H178" i="20"/>
  <c r="H569" i="20"/>
  <c r="H575" i="20"/>
  <c r="H943" i="20"/>
  <c r="H179" i="20"/>
  <c r="H181" i="20"/>
  <c r="H167" i="20"/>
  <c r="H180" i="20"/>
  <c r="H907" i="20"/>
  <c r="H185" i="20"/>
  <c r="H182" i="20"/>
  <c r="H186" i="20"/>
  <c r="H581" i="20"/>
  <c r="H587" i="20"/>
  <c r="H944" i="20"/>
  <c r="H592" i="20"/>
  <c r="H170" i="20"/>
  <c r="H187" i="20"/>
  <c r="H908" i="20"/>
  <c r="H188" i="20"/>
  <c r="H195" i="20"/>
  <c r="H192" i="20"/>
  <c r="H196" i="20"/>
  <c r="H599" i="20"/>
  <c r="H605" i="20"/>
  <c r="H945" i="20"/>
  <c r="H612" i="20"/>
  <c r="H201" i="20"/>
  <c r="H193" i="20"/>
  <c r="H199" i="20"/>
  <c r="H200" i="20"/>
  <c r="H203" i="20"/>
  <c r="H198" i="20"/>
  <c r="H204" i="20"/>
  <c r="H617" i="20"/>
  <c r="H622" i="20"/>
  <c r="H946" i="20"/>
  <c r="H628" i="20"/>
  <c r="H306" i="20"/>
  <c r="H171" i="20"/>
  <c r="H206" i="20"/>
  <c r="H207" i="20"/>
  <c r="H208" i="20"/>
  <c r="H209" i="20"/>
  <c r="H635" i="20"/>
  <c r="H210" i="20"/>
  <c r="H655" i="20"/>
  <c r="H205" i="20"/>
  <c r="H947" i="20"/>
  <c r="H309" i="20"/>
  <c r="H215" i="20"/>
  <c r="H190" i="20"/>
  <c r="H211" i="20"/>
  <c r="H212" i="20"/>
  <c r="H214" i="20"/>
  <c r="H217" i="20"/>
  <c r="H220" i="20"/>
  <c r="H666" i="20"/>
  <c r="H679" i="20"/>
  <c r="H948" i="20"/>
  <c r="H697" i="20"/>
  <c r="H191" i="20"/>
  <c r="H224" i="20"/>
  <c r="H225" i="20"/>
  <c r="H226" i="20"/>
  <c r="H227" i="20"/>
  <c r="H731" i="20"/>
  <c r="H228" i="20"/>
  <c r="H736" i="20"/>
  <c r="H223" i="20"/>
  <c r="H949" i="20"/>
  <c r="H230" i="20"/>
  <c r="H235" i="20"/>
  <c r="H197" i="20"/>
  <c r="H231" i="20"/>
  <c r="H232" i="20"/>
  <c r="H237" i="20"/>
  <c r="H744" i="20"/>
  <c r="H238" i="20"/>
  <c r="H778" i="20"/>
  <c r="H792" i="20"/>
  <c r="H950" i="20"/>
  <c r="H801" i="20"/>
  <c r="H241" i="20"/>
  <c r="H216" i="20"/>
  <c r="H239" i="20"/>
  <c r="H244" i="20"/>
  <c r="H245" i="20"/>
  <c r="H246" i="20"/>
  <c r="H819" i="20"/>
  <c r="H247" i="20"/>
  <c r="H288" i="20"/>
  <c r="H294" i="20"/>
  <c r="H951" i="20"/>
  <c r="H242" i="20"/>
  <c r="H254" i="20"/>
  <c r="H221" i="20"/>
  <c r="H249" i="20"/>
  <c r="H250" i="20"/>
  <c r="H252" i="20"/>
  <c r="H248" i="20"/>
  <c r="H253" i="20"/>
  <c r="H300" i="20"/>
  <c r="H317" i="20"/>
  <c r="H952" i="20"/>
  <c r="H323" i="20"/>
  <c r="H222" i="20"/>
  <c r="H256" i="20"/>
  <c r="H257" i="20"/>
  <c r="H258" i="20"/>
  <c r="H259" i="20"/>
  <c r="H255" i="20"/>
  <c r="H263" i="20"/>
  <c r="H330" i="20"/>
  <c r="H346" i="20"/>
  <c r="H953" i="20"/>
  <c r="H353" i="20"/>
  <c r="H264" i="20"/>
  <c r="H260" i="20"/>
  <c r="H268" i="20"/>
  <c r="H269" i="20"/>
  <c r="H271" i="20"/>
  <c r="H568" i="20"/>
  <c r="H272" i="20"/>
  <c r="H267" i="20"/>
  <c r="H273" i="20"/>
  <c r="H954" i="20"/>
  <c r="H574" i="20"/>
  <c r="H276" i="20"/>
  <c r="H265" i="20"/>
  <c r="H274" i="20"/>
  <c r="H275" i="20"/>
  <c r="H279" i="20"/>
  <c r="H280" i="20"/>
  <c r="H580" i="20"/>
  <c r="H281" i="20"/>
  <c r="H598" i="20"/>
  <c r="H604" i="20"/>
  <c r="H955" i="20"/>
  <c r="H277" i="20"/>
  <c r="H282" i="20"/>
  <c r="H266" i="20"/>
  <c r="H278" i="20"/>
  <c r="H909" i="20"/>
  <c r="H286" i="20"/>
  <c r="H611" i="20"/>
  <c r="H290" i="20"/>
  <c r="H297" i="20"/>
  <c r="H357" i="20"/>
  <c r="H287" i="20"/>
  <c r="H358" i="20"/>
  <c r="H359" i="20"/>
  <c r="H356" i="20"/>
  <c r="H361" i="20"/>
  <c r="H627" i="20"/>
  <c r="H363" i="20"/>
  <c r="H956" i="20"/>
  <c r="H368" i="20"/>
  <c r="H365" i="20"/>
  <c r="H634" i="20"/>
  <c r="H957" i="20"/>
  <c r="H43" i="20"/>
  <c r="H366" i="20"/>
  <c r="H291" i="20"/>
  <c r="H373" i="20"/>
  <c r="H374" i="20"/>
  <c r="H375" i="20"/>
  <c r="H68" i="20"/>
  <c r="H376" i="20"/>
  <c r="H86" i="20"/>
  <c r="H371" i="20"/>
  <c r="H958" i="20"/>
  <c r="H119" i="20"/>
  <c r="H382" i="20"/>
  <c r="H292" i="20"/>
  <c r="H377" i="20"/>
  <c r="H378" i="20"/>
  <c r="H379" i="20"/>
  <c r="H136" i="20"/>
  <c r="H381" i="20"/>
  <c r="H194" i="20"/>
  <c r="H383" i="20"/>
  <c r="H959" i="20"/>
  <c r="H219" i="20"/>
  <c r="H392" i="20"/>
  <c r="H298" i="20"/>
  <c r="H387" i="20"/>
  <c r="H388" i="20"/>
  <c r="H389" i="20"/>
  <c r="H390" i="20"/>
  <c r="H234" i="20"/>
  <c r="H391" i="20"/>
  <c r="H386" i="20"/>
  <c r="H393" i="20"/>
  <c r="H960" i="20"/>
  <c r="H240" i="20"/>
  <c r="H396" i="20"/>
  <c r="H299" i="20"/>
  <c r="H394" i="20"/>
  <c r="H395" i="20"/>
  <c r="H398" i="20"/>
  <c r="H262" i="20"/>
  <c r="H400" i="20"/>
  <c r="H296" i="20"/>
  <c r="H302" i="20"/>
  <c r="H961" i="20"/>
  <c r="H308" i="20"/>
  <c r="H350" i="20"/>
  <c r="H401" i="20"/>
  <c r="H402" i="20"/>
  <c r="H403" i="20"/>
  <c r="H405" i="20"/>
  <c r="H319" i="20"/>
  <c r="H404" i="20"/>
  <c r="H325" i="20"/>
  <c r="H332" i="20"/>
  <c r="H962" i="20"/>
  <c r="H406" i="20"/>
  <c r="H495" i="20"/>
  <c r="H351" i="20"/>
  <c r="H407" i="20"/>
  <c r="H408" i="20"/>
  <c r="H409" i="20"/>
  <c r="H8" i="20"/>
  <c r="H412" i="20"/>
  <c r="H415" i="20"/>
  <c r="H342" i="20"/>
  <c r="H348" i="20"/>
  <c r="H963" i="20"/>
  <c r="H355" i="20"/>
  <c r="H416" i="20"/>
  <c r="H413" i="20"/>
  <c r="H420" i="20"/>
  <c r="H421" i="20"/>
  <c r="H424" i="20"/>
  <c r="H385" i="20"/>
  <c r="H425" i="20"/>
  <c r="H414" i="20"/>
  <c r="H419" i="20"/>
  <c r="H964" i="20"/>
  <c r="H422" i="20"/>
  <c r="H427" i="20"/>
  <c r="H426" i="20"/>
  <c r="H429" i="20"/>
  <c r="H430" i="20"/>
  <c r="H431" i="20"/>
  <c r="H432" i="20"/>
  <c r="H428" i="20"/>
  <c r="H433" i="20"/>
  <c r="H497" i="20"/>
  <c r="H517" i="20"/>
  <c r="H965" i="20"/>
  <c r="H539" i="20"/>
  <c r="H370" i="20"/>
  <c r="H435" i="20"/>
  <c r="H436" i="20"/>
  <c r="H438" i="20"/>
  <c r="H434" i="20"/>
  <c r="H439" i="20"/>
  <c r="H441" i="20"/>
  <c r="H576" i="20"/>
  <c r="H966" i="20"/>
  <c r="H582" i="20"/>
  <c r="H314" i="20"/>
  <c r="H410" i="20"/>
  <c r="H442" i="20"/>
  <c r="H443" i="20"/>
  <c r="H444" i="20"/>
  <c r="H445" i="20"/>
  <c r="H588" i="20"/>
  <c r="H448" i="20"/>
  <c r="H593" i="20"/>
  <c r="H600" i="20"/>
  <c r="H967" i="20"/>
  <c r="H606" i="20"/>
  <c r="H449" i="20"/>
  <c r="H411" i="20"/>
  <c r="H452" i="20"/>
  <c r="H910" i="20"/>
  <c r="H455" i="20"/>
  <c r="H453" i="20"/>
  <c r="H456" i="20"/>
  <c r="H613" i="20"/>
  <c r="H623" i="20"/>
  <c r="H968" i="20"/>
  <c r="H458" i="20"/>
  <c r="H457" i="20"/>
  <c r="H417" i="20"/>
  <c r="H459" i="20"/>
  <c r="H911" i="20"/>
  <c r="H462" i="20"/>
  <c r="H463" i="20"/>
  <c r="H460" i="20"/>
  <c r="H464" i="20"/>
  <c r="H629" i="20"/>
  <c r="H636" i="20"/>
  <c r="H969" i="20"/>
  <c r="H667" i="20"/>
  <c r="H465" i="20"/>
  <c r="H418" i="20"/>
  <c r="H912" i="20"/>
  <c r="H472" i="20"/>
  <c r="H470" i="20"/>
  <c r="H473" i="20"/>
  <c r="H698" i="20"/>
  <c r="H793" i="20"/>
  <c r="H970" i="20"/>
  <c r="H333" i="20"/>
  <c r="H478" i="20"/>
  <c r="H471" i="20"/>
  <c r="H476" i="20"/>
  <c r="H477" i="20"/>
  <c r="H479" i="20"/>
  <c r="H480" i="20"/>
  <c r="H334" i="20"/>
  <c r="H481" i="20"/>
  <c r="H335" i="20"/>
  <c r="H475" i="20"/>
  <c r="H971" i="20"/>
  <c r="H482" i="20"/>
  <c r="H315" i="20"/>
  <c r="H446" i="20"/>
  <c r="H483" i="20"/>
  <c r="H484" i="20"/>
  <c r="H486" i="20"/>
  <c r="H338" i="20"/>
  <c r="H487" i="20"/>
  <c r="H339" i="20"/>
  <c r="H340" i="20"/>
  <c r="H972" i="20"/>
  <c r="H343" i="20"/>
  <c r="H492" i="20"/>
  <c r="H450" i="20"/>
  <c r="H488" i="20"/>
  <c r="H489" i="20"/>
  <c r="H490" i="20"/>
  <c r="H491" i="20"/>
  <c r="H494" i="20"/>
  <c r="H498" i="20"/>
  <c r="H344" i="20"/>
  <c r="H345" i="20"/>
  <c r="H973" i="20"/>
  <c r="H577" i="20"/>
  <c r="H451" i="20"/>
  <c r="H503" i="20"/>
  <c r="H504" i="20"/>
  <c r="H506" i="20"/>
  <c r="H578" i="20"/>
  <c r="H507" i="20"/>
  <c r="H502" i="20"/>
  <c r="H508" i="20"/>
  <c r="H974" i="20"/>
  <c r="H579" i="20"/>
  <c r="H511" i="20"/>
  <c r="H468" i="20"/>
  <c r="H509" i="20"/>
  <c r="H510" i="20"/>
  <c r="H513" i="20"/>
  <c r="H514" i="20"/>
  <c r="H584" i="20"/>
  <c r="H515" i="20"/>
  <c r="H585" i="20"/>
  <c r="H586" i="20"/>
  <c r="H975" i="20"/>
  <c r="H589" i="20"/>
  <c r="H518" i="20"/>
  <c r="H469" i="20"/>
  <c r="H516" i="20"/>
  <c r="H521" i="20"/>
  <c r="H523" i="20"/>
  <c r="H519" i="20"/>
  <c r="H524" i="20"/>
  <c r="H590" i="20"/>
  <c r="H591" i="20"/>
  <c r="H976" i="20"/>
  <c r="H595" i="20"/>
  <c r="H531" i="20"/>
  <c r="H474" i="20"/>
  <c r="H526" i="20"/>
  <c r="H527" i="20"/>
  <c r="H528" i="20"/>
  <c r="H529" i="20"/>
  <c r="H596" i="20"/>
  <c r="H530" i="20"/>
  <c r="H525" i="20"/>
  <c r="H597" i="20"/>
  <c r="H977" i="20"/>
  <c r="H601" i="20"/>
  <c r="H493" i="20"/>
  <c r="H533" i="20"/>
  <c r="H534" i="20"/>
  <c r="H536" i="20"/>
  <c r="H532" i="20"/>
  <c r="H540" i="20"/>
  <c r="H602" i="20"/>
  <c r="H603" i="20"/>
  <c r="H978" i="20"/>
  <c r="H608" i="20"/>
  <c r="H541" i="20"/>
  <c r="H500" i="20"/>
  <c r="H545" i="20"/>
  <c r="H546" i="20"/>
  <c r="H547" i="20"/>
  <c r="H548" i="20"/>
  <c r="H544" i="20"/>
  <c r="H549" i="20"/>
  <c r="H609" i="20"/>
  <c r="H610" i="20"/>
  <c r="H979" i="20"/>
  <c r="H550" i="20"/>
  <c r="H554" i="20"/>
  <c r="H501" i="20"/>
  <c r="H551" i="20"/>
  <c r="H552" i="20"/>
  <c r="H559" i="20"/>
  <c r="H557" i="20"/>
  <c r="H560" i="20"/>
  <c r="H614" i="20"/>
  <c r="H615" i="20"/>
  <c r="H980" i="20"/>
  <c r="H616" i="20"/>
  <c r="H561" i="20"/>
  <c r="H558" i="20"/>
  <c r="H537" i="20"/>
  <c r="H913" i="20"/>
  <c r="H565" i="20"/>
  <c r="H566" i="20"/>
  <c r="H619" i="20"/>
  <c r="H571" i="20"/>
  <c r="H542" i="20"/>
  <c r="H641" i="20"/>
  <c r="H642" i="20"/>
  <c r="H643" i="20"/>
  <c r="H644" i="20"/>
  <c r="H620" i="20"/>
  <c r="H645" i="20"/>
  <c r="H640" i="20"/>
  <c r="H647" i="20"/>
  <c r="H981" i="20"/>
  <c r="H650" i="20"/>
  <c r="H648" i="20"/>
  <c r="H621" i="20"/>
  <c r="H982" i="20"/>
  <c r="H624" i="20"/>
  <c r="H543" i="20"/>
  <c r="H649" i="20"/>
  <c r="H656" i="20"/>
  <c r="H657" i="20"/>
  <c r="H625" i="20"/>
  <c r="H659" i="20"/>
  <c r="H626" i="20"/>
  <c r="H654" i="20"/>
  <c r="H983" i="20"/>
  <c r="H631" i="20"/>
  <c r="H665" i="20"/>
  <c r="H555" i="20"/>
  <c r="H660" i="20"/>
  <c r="H661" i="20"/>
  <c r="H662" i="20"/>
  <c r="H663" i="20"/>
  <c r="H632" i="20"/>
  <c r="H664" i="20"/>
  <c r="H633" i="20"/>
  <c r="H637" i="20"/>
  <c r="H984" i="20"/>
  <c r="H638" i="20"/>
  <c r="H674" i="20"/>
  <c r="H556" i="20"/>
  <c r="H669" i="20"/>
  <c r="H670" i="20"/>
  <c r="H671" i="20"/>
  <c r="H668" i="20"/>
  <c r="H673" i="20"/>
  <c r="H639" i="20"/>
  <c r="H845" i="20"/>
  <c r="H985" i="20"/>
  <c r="H675" i="20"/>
  <c r="H320" i="20"/>
  <c r="H562" i="20"/>
  <c r="H676" i="20"/>
  <c r="H677" i="20"/>
  <c r="H680" i="20"/>
  <c r="H681" i="20"/>
  <c r="H678" i="20"/>
  <c r="H682" i="20"/>
  <c r="H846" i="20"/>
  <c r="H847" i="20"/>
  <c r="H986" i="20"/>
  <c r="H848" i="20"/>
  <c r="H567" i="20"/>
  <c r="H684" i="20"/>
  <c r="H685" i="20"/>
  <c r="H686" i="20"/>
  <c r="H849" i="20"/>
  <c r="H688" i="20"/>
  <c r="H850" i="20"/>
  <c r="H689" i="20"/>
  <c r="H987" i="20"/>
  <c r="H851" i="20"/>
  <c r="H693" i="20"/>
  <c r="H572" i="20"/>
  <c r="H690" i="20"/>
  <c r="H691" i="20"/>
  <c r="H692" i="20"/>
  <c r="H699" i="20"/>
  <c r="H852" i="20"/>
  <c r="H700" i="20"/>
  <c r="H853" i="20"/>
  <c r="H854" i="20"/>
  <c r="H988" i="20"/>
  <c r="H696" i="20"/>
  <c r="H321" i="20"/>
  <c r="H652" i="20"/>
  <c r="H703" i="20"/>
  <c r="H704" i="20"/>
  <c r="H705" i="20"/>
  <c r="H702" i="20"/>
  <c r="H707" i="20"/>
  <c r="H855" i="20"/>
  <c r="H856" i="20"/>
  <c r="H989" i="20"/>
  <c r="H857" i="20"/>
  <c r="H708" i="20"/>
  <c r="H709" i="20"/>
  <c r="H711" i="20"/>
  <c r="H712" i="20"/>
  <c r="H713" i="20"/>
  <c r="H714" i="20"/>
  <c r="H710" i="20"/>
  <c r="H715" i="20"/>
  <c r="H858" i="20"/>
  <c r="H859" i="20"/>
  <c r="H990" i="20"/>
  <c r="H860" i="20"/>
  <c r="H653" i="20"/>
  <c r="H716" i="20"/>
  <c r="H717" i="20"/>
  <c r="H718" i="20"/>
  <c r="H861" i="20"/>
  <c r="H720" i="20"/>
  <c r="H862" i="20"/>
  <c r="H863" i="20"/>
  <c r="H991" i="20"/>
  <c r="H722" i="20"/>
  <c r="H322" i="20"/>
  <c r="H694" i="20"/>
  <c r="H723" i="20"/>
  <c r="H724" i="20"/>
  <c r="H727" i="20"/>
  <c r="H728" i="20"/>
  <c r="H730" i="20"/>
  <c r="H732" i="20"/>
  <c r="H864" i="20"/>
  <c r="H865" i="20"/>
  <c r="H992" i="20"/>
  <c r="H866" i="20"/>
  <c r="H733" i="20"/>
  <c r="H734" i="20"/>
  <c r="H695" i="20"/>
  <c r="H914" i="20"/>
  <c r="H737" i="20"/>
  <c r="H867" i="20"/>
  <c r="H739" i="20"/>
  <c r="H735" i="20"/>
  <c r="H740" i="20"/>
  <c r="H993" i="20"/>
  <c r="H868" i="20"/>
  <c r="H742" i="20"/>
  <c r="H741" i="20"/>
  <c r="H701" i="20"/>
  <c r="H915" i="20"/>
  <c r="H745" i="20"/>
  <c r="H746" i="20"/>
  <c r="H869" i="20"/>
  <c r="H747" i="20"/>
  <c r="H870" i="20"/>
  <c r="H743" i="20"/>
  <c r="H994" i="20"/>
  <c r="H871" i="20"/>
  <c r="H748" i="20"/>
  <c r="H729" i="20"/>
  <c r="H916" i="20"/>
  <c r="H749" i="20"/>
  <c r="H753" i="20"/>
  <c r="H756" i="20"/>
  <c r="H872" i="20"/>
  <c r="H873" i="20"/>
  <c r="H995" i="20"/>
  <c r="H874" i="20"/>
  <c r="H761" i="20"/>
  <c r="H754" i="20"/>
  <c r="H759" i="20"/>
  <c r="H760" i="20"/>
  <c r="H762" i="20"/>
  <c r="H763" i="20"/>
  <c r="H875" i="20"/>
  <c r="H764" i="20"/>
  <c r="H876" i="20"/>
  <c r="H758" i="20"/>
  <c r="H996" i="20"/>
  <c r="H765" i="20"/>
  <c r="H327" i="20"/>
  <c r="H725" i="20"/>
  <c r="H766" i="20"/>
  <c r="H767" i="20"/>
  <c r="H768" i="20"/>
  <c r="H877" i="20"/>
  <c r="H770" i="20"/>
  <c r="H878" i="20"/>
  <c r="H879" i="20"/>
  <c r="H997" i="20"/>
  <c r="H880" i="20"/>
  <c r="H775" i="20"/>
  <c r="H726" i="20"/>
  <c r="H771" i="20"/>
  <c r="H772" i="20"/>
  <c r="H773" i="20"/>
  <c r="H774" i="20"/>
  <c r="H777" i="20"/>
  <c r="H779" i="20"/>
  <c r="H881" i="20"/>
  <c r="H882" i="20"/>
  <c r="H998" i="20"/>
  <c r="H883" i="20"/>
  <c r="H751" i="20"/>
  <c r="H783" i="20"/>
  <c r="H784" i="20"/>
  <c r="H785" i="20"/>
  <c r="H884" i="20"/>
  <c r="H787" i="20"/>
  <c r="H782" i="20"/>
  <c r="H789" i="20"/>
  <c r="H999" i="20"/>
  <c r="H885" i="20"/>
  <c r="H794" i="20"/>
  <c r="H752" i="20"/>
  <c r="H790" i="20"/>
  <c r="H791" i="20"/>
  <c r="H795" i="20"/>
  <c r="H796" i="20"/>
  <c r="H886" i="20"/>
  <c r="H797" i="20"/>
  <c r="H887" i="20"/>
  <c r="H888" i="20"/>
  <c r="H1000" i="20"/>
  <c r="H889" i="20"/>
  <c r="H799" i="20"/>
  <c r="H757" i="20"/>
  <c r="H798" i="20"/>
  <c r="H802" i="20"/>
  <c r="H803" i="20"/>
  <c r="H800" i="20"/>
  <c r="H805" i="20"/>
  <c r="H890" i="20"/>
  <c r="H891" i="20"/>
  <c r="H1001" i="20"/>
  <c r="H892" i="20"/>
  <c r="H812" i="20"/>
  <c r="H776" i="20"/>
  <c r="H807" i="20"/>
  <c r="H808" i="20"/>
  <c r="H809" i="20"/>
  <c r="H810" i="20"/>
  <c r="H893" i="20"/>
  <c r="H811" i="20"/>
  <c r="H894" i="20"/>
  <c r="H806" i="20"/>
  <c r="H1002" i="20"/>
  <c r="H813" i="20"/>
  <c r="H780" i="20"/>
  <c r="H814" i="20"/>
  <c r="H815" i="20"/>
  <c r="H816" i="20"/>
  <c r="H895" i="20"/>
  <c r="H820" i="20"/>
  <c r="H896" i="20"/>
  <c r="H897" i="20"/>
  <c r="H1003" i="20"/>
  <c r="H898" i="20"/>
  <c r="H821" i="20"/>
  <c r="H823" i="20"/>
  <c r="H781" i="20"/>
  <c r="H824" i="20"/>
  <c r="H825" i="20"/>
  <c r="H826" i="20"/>
  <c r="H822" i="20"/>
  <c r="H827" i="20"/>
  <c r="H899" i="20"/>
  <c r="H900" i="20"/>
  <c r="H1004" i="20"/>
  <c r="H828" i="20"/>
  <c r="H832" i="20"/>
  <c r="H818" i="20"/>
  <c r="H829" i="20"/>
  <c r="H830" i="20"/>
  <c r="H831" i="20"/>
  <c r="H835" i="20"/>
  <c r="H838" i="20"/>
  <c r="H901" i="20"/>
  <c r="H902" i="20"/>
  <c r="H1005" i="20"/>
  <c r="H903" i="20"/>
  <c r="H839" i="20"/>
  <c r="H833" i="20"/>
  <c r="H836" i="20"/>
  <c r="H329" i="20"/>
  <c r="H843" i="20"/>
  <c r="H844" i="20"/>
  <c r="H904" i="20"/>
  <c r="H9" i="20"/>
  <c r="H1006" i="20"/>
  <c r="H1007" i="20"/>
  <c r="H1008" i="20"/>
  <c r="H1009" i="20"/>
  <c r="H1010" i="20"/>
  <c r="H1011" i="20"/>
  <c r="H1012" i="20"/>
  <c r="H1013" i="20"/>
  <c r="H1014" i="20"/>
  <c r="H1015" i="20"/>
  <c r="H1016" i="20"/>
  <c r="H1017" i="20"/>
  <c r="H1018" i="20"/>
  <c r="H1019" i="20"/>
  <c r="H1020" i="20"/>
  <c r="H1021" i="20"/>
  <c r="H1022" i="20"/>
  <c r="H1023" i="20"/>
  <c r="H1024" i="20"/>
  <c r="H1025" i="20"/>
  <c r="H1026" i="20"/>
  <c r="H1027" i="20"/>
  <c r="H1028" i="20"/>
  <c r="H1029" i="20"/>
  <c r="H1030" i="20"/>
  <c r="H1031" i="20"/>
  <c r="H1032" i="20"/>
  <c r="H1033" i="20"/>
  <c r="H1034" i="20"/>
  <c r="H1035" i="20"/>
  <c r="H1036" i="20"/>
  <c r="H1037" i="20"/>
  <c r="H1038" i="20"/>
  <c r="H1039" i="20"/>
  <c r="H1040" i="20"/>
  <c r="H1041" i="20"/>
  <c r="H1042" i="20"/>
  <c r="H1043" i="20"/>
  <c r="H1044" i="20"/>
  <c r="H1045" i="20"/>
  <c r="H1046" i="20"/>
  <c r="H1047" i="20"/>
  <c r="H1048" i="20"/>
  <c r="H1049" i="20"/>
  <c r="H1050" i="20"/>
  <c r="H1051" i="20"/>
  <c r="H1052" i="20"/>
  <c r="H1053" i="20"/>
  <c r="H1054" i="20"/>
  <c r="H1055" i="20"/>
  <c r="H1056" i="20"/>
  <c r="H1057" i="20"/>
  <c r="H1058" i="20"/>
  <c r="H1059" i="20"/>
  <c r="H1060" i="20"/>
  <c r="H1061" i="20"/>
  <c r="H1062" i="20"/>
  <c r="H1063" i="20"/>
  <c r="H1064" i="20"/>
  <c r="H1065" i="20"/>
  <c r="H1066" i="20"/>
  <c r="H1067" i="20"/>
  <c r="H1068" i="20"/>
  <c r="H1069" i="20"/>
  <c r="H1070" i="20"/>
  <c r="H1071" i="20"/>
  <c r="H1072" i="20"/>
  <c r="H1073" i="20"/>
  <c r="H1074" i="20"/>
  <c r="H1075" i="20"/>
  <c r="H1076" i="20"/>
  <c r="H1077" i="20"/>
  <c r="H1078" i="20"/>
  <c r="H1079" i="20"/>
  <c r="H1080" i="20"/>
  <c r="H1081" i="20"/>
  <c r="H1082" i="20"/>
  <c r="H1083" i="20"/>
  <c r="H1084" i="20"/>
  <c r="H1085" i="20"/>
  <c r="H1086" i="20"/>
  <c r="H1087" i="20"/>
  <c r="H1088" i="20"/>
  <c r="H1089" i="20"/>
  <c r="H1090" i="20"/>
  <c r="H1091" i="20"/>
  <c r="H1092" i="20"/>
  <c r="H1093" i="20"/>
  <c r="H1094" i="20"/>
  <c r="H1095" i="20"/>
  <c r="H1096" i="20"/>
  <c r="H1097" i="20"/>
  <c r="H1098" i="20"/>
  <c r="H1099" i="20"/>
  <c r="H1100" i="20"/>
  <c r="H1101" i="20"/>
  <c r="H1102" i="20"/>
  <c r="H1103" i="20"/>
  <c r="H1104" i="20"/>
  <c r="H1105" i="20"/>
  <c r="H1106" i="20"/>
  <c r="H1107" i="20"/>
  <c r="H1108" i="20"/>
  <c r="H1109" i="20"/>
  <c r="H1110" i="20"/>
  <c r="H1111" i="20"/>
  <c r="H1112" i="20"/>
  <c r="H1113" i="20"/>
  <c r="H1114" i="20"/>
  <c r="H1115" i="20"/>
  <c r="H1116" i="20"/>
  <c r="H1117" i="20"/>
  <c r="H1118" i="20"/>
  <c r="H1119" i="20"/>
  <c r="H1120" i="20"/>
  <c r="H1121" i="20"/>
  <c r="H1122" i="20"/>
  <c r="H1123" i="20"/>
  <c r="H1124" i="20"/>
  <c r="H1125" i="20"/>
  <c r="H1126" i="20"/>
  <c r="H1127" i="20"/>
  <c r="H1128" i="20"/>
  <c r="H1129" i="20"/>
  <c r="H1130" i="20"/>
  <c r="H1131" i="20"/>
  <c r="H1132" i="20"/>
  <c r="H1133" i="20"/>
  <c r="H1134" i="20"/>
  <c r="H1135" i="20"/>
  <c r="H1136" i="20"/>
  <c r="H1137" i="20"/>
  <c r="H1138" i="20"/>
  <c r="H1139" i="20"/>
  <c r="H1140" i="20"/>
  <c r="H1141" i="20"/>
  <c r="H1142" i="20"/>
  <c r="H1143" i="20"/>
  <c r="H1144" i="20"/>
  <c r="H1145" i="20"/>
  <c r="H1146" i="20"/>
  <c r="H1147" i="20"/>
  <c r="H1148" i="20"/>
  <c r="H1149" i="20"/>
  <c r="H1150" i="20"/>
  <c r="H1151" i="20"/>
  <c r="H1152" i="20"/>
  <c r="H1153" i="20"/>
  <c r="H1154" i="20"/>
  <c r="H1155" i="20"/>
  <c r="H1156" i="20"/>
  <c r="H1157" i="20"/>
  <c r="H1158" i="20"/>
  <c r="H1159" i="20"/>
  <c r="H1160" i="20"/>
  <c r="H1161" i="20"/>
  <c r="H1162" i="20"/>
  <c r="H1163" i="20"/>
  <c r="H1164" i="20"/>
  <c r="H1165" i="20"/>
  <c r="H1166" i="20"/>
  <c r="H1167" i="20"/>
  <c r="H1168" i="20"/>
  <c r="H1169" i="20"/>
  <c r="H1170" i="20"/>
  <c r="H1171" i="20"/>
  <c r="H1172" i="20"/>
  <c r="H1173" i="20"/>
  <c r="H1174" i="20"/>
  <c r="H1175" i="20"/>
  <c r="H1176" i="20"/>
  <c r="H1177" i="20"/>
  <c r="H1178" i="20"/>
  <c r="H1179" i="20"/>
  <c r="H1180" i="20"/>
  <c r="H1181" i="20"/>
  <c r="H1182" i="20"/>
  <c r="H1183" i="20"/>
  <c r="H1184" i="20"/>
  <c r="H1185" i="20"/>
  <c r="H1186" i="20"/>
  <c r="H1187" i="20"/>
  <c r="H1188" i="20"/>
  <c r="H1189" i="20"/>
  <c r="H1190" i="20"/>
  <c r="H1191" i="20"/>
  <c r="H1192" i="20"/>
  <c r="H1193" i="20"/>
  <c r="H1194" i="20"/>
  <c r="H1195" i="20"/>
  <c r="H1196" i="20"/>
  <c r="H1197" i="20"/>
  <c r="H1198" i="20"/>
  <c r="H1199" i="20"/>
  <c r="H1200" i="20"/>
  <c r="H1201" i="20"/>
  <c r="H1202" i="20"/>
  <c r="H1203" i="20"/>
  <c r="H1204" i="20"/>
  <c r="H1205" i="20"/>
  <c r="H1206" i="20"/>
  <c r="H1207" i="20"/>
  <c r="H1208" i="20"/>
  <c r="H1209" i="20"/>
  <c r="H1210" i="20"/>
  <c r="H1211" i="20"/>
  <c r="H1212" i="20"/>
  <c r="H1213" i="20"/>
  <c r="H1214" i="20"/>
  <c r="H1215" i="20"/>
  <c r="H1216" i="20"/>
  <c r="H1217" i="20"/>
  <c r="H1218" i="20"/>
  <c r="H1219" i="20"/>
  <c r="H1220" i="20"/>
  <c r="H1221" i="20"/>
  <c r="H1222" i="20"/>
  <c r="H1223" i="20"/>
  <c r="H1224" i="20"/>
  <c r="H1225" i="20"/>
  <c r="H1226" i="20"/>
  <c r="H1227" i="20"/>
  <c r="H1228" i="20"/>
  <c r="H1229" i="20"/>
  <c r="H1230" i="20"/>
  <c r="H1231" i="20"/>
  <c r="H1232" i="20"/>
  <c r="H1233" i="20"/>
  <c r="H1234" i="20"/>
  <c r="H1235" i="20"/>
  <c r="H1236" i="20"/>
  <c r="H1237" i="20"/>
  <c r="H1238" i="20"/>
  <c r="H1239" i="20"/>
  <c r="H1240" i="20"/>
  <c r="H1241" i="20"/>
  <c r="H1242" i="20"/>
  <c r="H1243" i="20"/>
  <c r="H1244" i="20"/>
  <c r="H1245" i="20"/>
  <c r="H1246" i="20"/>
  <c r="H1247" i="20"/>
  <c r="H1248" i="20"/>
  <c r="H1249" i="20"/>
  <c r="H1250" i="20"/>
  <c r="H1251" i="20"/>
  <c r="H1252" i="20"/>
  <c r="H1253" i="20"/>
  <c r="H1254" i="20"/>
  <c r="H1255" i="20"/>
  <c r="H1256" i="20"/>
  <c r="H1257" i="20"/>
  <c r="H1258" i="20"/>
  <c r="H1259" i="20"/>
  <c r="H1260" i="20"/>
  <c r="H1261" i="20"/>
  <c r="H1262" i="20"/>
  <c r="H1263" i="20"/>
  <c r="H1264" i="20"/>
  <c r="H1265" i="20"/>
  <c r="H1266" i="20"/>
  <c r="H1267" i="20"/>
  <c r="H1268" i="20"/>
  <c r="H1269" i="20"/>
  <c r="H1270" i="20"/>
  <c r="H1271" i="20"/>
  <c r="H1272" i="20"/>
  <c r="H1273" i="20"/>
  <c r="H1274" i="20"/>
  <c r="H1275" i="20"/>
  <c r="H1276" i="20"/>
  <c r="H1277" i="20"/>
  <c r="H1278" i="20"/>
  <c r="H1279" i="20"/>
  <c r="H1280" i="20"/>
  <c r="H1281" i="20"/>
  <c r="H1282" i="20"/>
  <c r="H1283" i="20"/>
  <c r="H1284" i="20"/>
  <c r="H1285" i="20"/>
  <c r="H1286" i="20"/>
  <c r="H1287" i="20"/>
  <c r="H1288" i="20"/>
  <c r="H1289" i="20"/>
  <c r="H1290" i="20"/>
  <c r="H1291" i="20"/>
  <c r="H1292" i="20"/>
  <c r="H1293" i="20"/>
  <c r="H1294" i="20"/>
  <c r="H1295" i="20"/>
  <c r="H1296" i="20"/>
  <c r="H1297" i="20"/>
  <c r="H1298" i="20"/>
  <c r="H1299" i="20"/>
  <c r="H1300" i="20"/>
  <c r="H1301" i="20"/>
  <c r="H1302" i="20"/>
  <c r="H1303" i="20"/>
  <c r="H1304" i="20"/>
  <c r="H1305" i="20"/>
  <c r="H1306" i="20"/>
  <c r="H1307" i="20"/>
  <c r="H1308" i="20"/>
  <c r="H1309" i="20"/>
  <c r="H1310" i="20"/>
  <c r="H1311" i="20"/>
  <c r="H1312" i="20"/>
  <c r="H1313" i="20"/>
  <c r="H1314" i="20"/>
  <c r="H1315" i="20"/>
  <c r="H1316" i="20"/>
  <c r="H1317" i="20"/>
  <c r="H1318" i="20"/>
  <c r="H1319" i="20"/>
  <c r="H1320" i="20"/>
  <c r="H1321" i="20"/>
  <c r="H1322" i="20"/>
  <c r="H1323" i="20"/>
  <c r="H1324" i="20"/>
  <c r="H1325" i="20"/>
  <c r="H1326" i="20"/>
  <c r="H1327" i="20"/>
  <c r="H1328" i="20"/>
  <c r="H1329" i="20"/>
  <c r="H1330" i="20"/>
  <c r="H1331" i="20"/>
  <c r="H1332" i="20"/>
  <c r="H1333" i="20"/>
  <c r="H1334" i="20"/>
  <c r="H1335" i="20"/>
  <c r="H1336" i="20"/>
  <c r="H1337" i="20"/>
  <c r="H1338" i="20"/>
  <c r="H1339" i="20"/>
  <c r="H1340" i="20"/>
  <c r="H1341" i="20"/>
  <c r="H1342" i="20"/>
  <c r="H1343" i="20"/>
  <c r="H1344" i="20"/>
  <c r="H1345" i="20"/>
  <c r="H1346" i="20"/>
  <c r="H1347" i="20"/>
  <c r="H1348" i="20"/>
  <c r="H1349" i="20"/>
  <c r="H1350" i="20"/>
  <c r="H1351" i="20"/>
  <c r="H1352" i="20"/>
  <c r="H1353" i="20"/>
  <c r="H1354" i="20"/>
  <c r="H1355" i="20"/>
  <c r="H1356" i="20"/>
  <c r="H1357" i="20"/>
  <c r="H1358" i="20"/>
  <c r="H1359" i="20"/>
  <c r="H1360" i="20"/>
  <c r="H1361" i="20"/>
  <c r="H1362" i="20"/>
  <c r="H1363" i="20"/>
  <c r="H1364" i="20"/>
  <c r="H1365" i="20"/>
  <c r="H1366" i="20"/>
  <c r="H1367" i="20"/>
  <c r="H1368" i="20"/>
  <c r="H1369" i="20"/>
  <c r="H1370" i="20"/>
  <c r="H1371" i="20"/>
  <c r="H1372" i="20"/>
  <c r="H1373" i="20"/>
  <c r="H1374" i="20"/>
  <c r="H1375" i="20"/>
  <c r="H1376" i="20"/>
  <c r="H1377" i="20"/>
  <c r="H1378" i="20"/>
  <c r="H1379" i="20"/>
  <c r="H1380" i="20"/>
  <c r="H1381" i="20"/>
  <c r="H1382" i="20"/>
  <c r="H1383" i="20"/>
  <c r="H1384" i="20"/>
  <c r="H1385" i="20"/>
  <c r="H1386" i="20"/>
  <c r="H1387" i="20"/>
  <c r="H1388" i="20"/>
  <c r="H1389" i="20"/>
  <c r="H1390" i="20"/>
  <c r="H1391" i="20"/>
  <c r="H1392" i="20"/>
  <c r="H1393" i="20"/>
  <c r="H1394" i="20"/>
  <c r="H1395" i="20"/>
  <c r="H1396" i="20"/>
  <c r="H1397" i="20"/>
  <c r="H1398" i="20"/>
  <c r="H1399" i="20"/>
  <c r="H1400" i="20"/>
  <c r="H1401" i="20"/>
  <c r="H1402" i="20"/>
  <c r="H1403" i="20"/>
  <c r="H1404" i="20"/>
  <c r="H1405" i="20"/>
  <c r="H1406" i="20"/>
  <c r="H1407" i="20"/>
  <c r="H1408" i="20"/>
  <c r="H1409" i="20"/>
  <c r="H1410" i="20"/>
  <c r="H1411" i="20"/>
  <c r="H1412" i="20"/>
  <c r="H1413" i="20"/>
  <c r="H1414" i="20"/>
  <c r="H1415" i="20"/>
  <c r="H1416" i="20"/>
  <c r="H1417" i="20"/>
  <c r="H1418" i="20"/>
  <c r="H1419" i="20"/>
  <c r="H1420" i="20"/>
  <c r="H1421" i="20"/>
  <c r="H1422" i="20"/>
  <c r="H1423" i="20"/>
  <c r="H1424" i="20"/>
  <c r="H1425" i="20"/>
  <c r="H1426" i="20"/>
  <c r="H1427" i="20"/>
  <c r="H1428" i="20"/>
  <c r="H1429" i="20"/>
  <c r="H1430" i="20"/>
  <c r="H1431" i="20"/>
  <c r="H1432" i="20"/>
  <c r="H1433" i="20"/>
  <c r="H1434" i="20"/>
  <c r="H1435" i="20"/>
  <c r="H1436" i="20"/>
  <c r="H1437" i="20"/>
  <c r="H1438" i="20"/>
  <c r="H1439" i="20"/>
  <c r="H1440" i="20"/>
  <c r="H1441" i="20"/>
  <c r="H1442" i="20"/>
  <c r="H1443" i="20"/>
  <c r="H1444" i="20"/>
  <c r="H1445" i="20"/>
  <c r="H1446" i="20"/>
  <c r="H1447" i="20"/>
  <c r="H1448" i="20"/>
  <c r="H1449" i="20"/>
  <c r="H1450" i="20"/>
  <c r="H1451" i="20"/>
  <c r="H1452" i="20"/>
  <c r="H1453" i="20"/>
  <c r="H1454" i="20"/>
  <c r="H1455" i="20"/>
  <c r="H1456" i="20"/>
  <c r="H1457" i="20"/>
  <c r="H1458" i="20"/>
  <c r="H1459" i="20"/>
  <c r="H1460" i="20"/>
  <c r="H1461" i="20"/>
  <c r="H1462" i="20"/>
  <c r="H1463" i="20"/>
  <c r="H1464" i="20"/>
  <c r="H1465" i="20"/>
  <c r="H1466" i="20"/>
  <c r="H1467" i="20"/>
  <c r="H1468" i="20"/>
  <c r="H1469" i="20"/>
  <c r="H1470" i="20"/>
  <c r="H1471" i="20"/>
  <c r="H1472" i="20"/>
  <c r="H1473" i="20"/>
  <c r="H1474" i="20"/>
  <c r="H1475" i="20"/>
  <c r="H1476" i="20"/>
  <c r="H1477" i="20"/>
  <c r="H1478" i="20"/>
  <c r="H1479" i="20"/>
  <c r="H1480" i="20"/>
  <c r="H1481" i="20"/>
  <c r="H1482" i="20"/>
  <c r="H1483" i="20"/>
  <c r="H1484" i="20"/>
  <c r="H1485" i="20"/>
  <c r="H1486" i="20"/>
  <c r="H1487" i="20"/>
  <c r="H1488" i="20"/>
  <c r="H1489" i="20"/>
  <c r="H1490" i="20"/>
  <c r="H1491" i="20"/>
  <c r="H1492" i="20"/>
  <c r="H1493" i="20"/>
  <c r="H1494" i="20"/>
  <c r="H1495" i="20"/>
  <c r="H1496" i="20"/>
  <c r="H1497" i="20"/>
  <c r="H1498" i="20"/>
  <c r="H1499" i="20"/>
  <c r="H1500" i="20"/>
  <c r="H1501" i="20"/>
  <c r="H1502" i="20"/>
  <c r="H1503" i="20"/>
  <c r="H1504" i="20"/>
  <c r="H1505" i="20"/>
  <c r="H1506" i="20"/>
  <c r="H1507" i="20"/>
  <c r="H1508" i="20"/>
  <c r="H1509" i="20"/>
  <c r="H1510" i="20"/>
  <c r="H1511" i="20"/>
  <c r="H1512" i="20"/>
  <c r="H1513" i="20"/>
  <c r="H1514" i="20"/>
  <c r="H1515" i="20"/>
  <c r="H1516" i="20"/>
  <c r="H1517" i="20"/>
  <c r="H1518" i="20"/>
  <c r="H1519" i="20"/>
  <c r="H1520" i="20"/>
  <c r="H1521" i="20"/>
  <c r="H1522" i="20"/>
  <c r="H1523" i="20"/>
  <c r="H1524" i="20"/>
  <c r="H1525" i="20"/>
  <c r="H1526" i="20"/>
  <c r="H1527" i="20"/>
  <c r="H1528" i="20"/>
  <c r="H1529" i="20"/>
  <c r="H1530" i="20"/>
  <c r="H1531" i="20"/>
  <c r="H1532" i="20"/>
  <c r="H1533" i="20"/>
  <c r="H1534" i="20"/>
  <c r="H1535" i="20"/>
  <c r="H1536" i="20"/>
  <c r="H1537" i="20"/>
  <c r="H1538" i="20"/>
  <c r="H1539" i="20"/>
  <c r="H1540" i="20"/>
  <c r="H1541" i="20"/>
  <c r="H1542" i="20"/>
  <c r="H1543" i="20"/>
  <c r="H1544" i="20"/>
  <c r="H1545" i="20"/>
  <c r="H1546" i="20"/>
  <c r="H1547" i="20"/>
  <c r="H1548" i="20"/>
  <c r="H1549" i="20"/>
  <c r="H1550" i="20"/>
  <c r="H1551" i="20"/>
  <c r="H1552" i="20"/>
  <c r="H1553" i="20"/>
  <c r="H1554" i="20"/>
  <c r="H1555" i="20"/>
  <c r="H1556" i="20"/>
  <c r="H1557" i="20"/>
  <c r="H1558" i="20"/>
  <c r="H1559" i="20"/>
  <c r="H1560" i="20"/>
  <c r="H1561" i="20"/>
  <c r="H1562" i="20"/>
  <c r="H1563" i="20"/>
  <c r="H1564" i="20"/>
  <c r="H1565" i="20"/>
  <c r="H1566" i="20"/>
  <c r="H1567" i="20"/>
  <c r="H1568" i="20"/>
  <c r="H1569" i="20"/>
  <c r="H1570" i="20"/>
  <c r="H1571" i="20"/>
  <c r="H1572" i="20"/>
  <c r="H1573" i="20"/>
  <c r="H1574" i="20"/>
  <c r="H1575" i="20"/>
  <c r="H1576" i="20"/>
  <c r="H1577" i="20"/>
  <c r="H1578" i="20"/>
  <c r="H1579" i="20"/>
  <c r="H1580" i="20"/>
  <c r="H1581" i="20"/>
  <c r="H1582" i="20"/>
  <c r="H1583" i="20"/>
  <c r="H1584" i="20"/>
  <c r="H1585" i="20"/>
  <c r="H1586" i="20"/>
  <c r="H1587" i="20"/>
  <c r="H1588" i="20"/>
  <c r="H1589" i="20"/>
  <c r="H1590" i="20"/>
  <c r="H1591" i="20"/>
  <c r="H1592" i="20"/>
  <c r="H1593" i="20"/>
  <c r="H1594" i="20"/>
  <c r="H1595" i="20"/>
  <c r="H1596" i="20"/>
  <c r="H1597" i="20"/>
  <c r="H1598" i="20"/>
  <c r="H1599" i="20"/>
  <c r="H1600" i="20"/>
  <c r="H1601" i="20"/>
  <c r="H1602" i="20"/>
  <c r="H1603" i="20"/>
  <c r="H1604" i="20"/>
  <c r="H1605" i="20"/>
  <c r="H1606" i="20"/>
  <c r="H1607" i="20"/>
  <c r="H1608" i="20"/>
  <c r="H1609" i="20"/>
  <c r="H1610" i="20"/>
  <c r="H1611" i="20"/>
  <c r="H1612" i="20"/>
  <c r="H1613" i="20"/>
  <c r="H1614" i="20"/>
  <c r="H1615" i="20"/>
  <c r="H1616" i="20"/>
  <c r="H1617" i="20"/>
  <c r="H1618" i="20"/>
  <c r="H1619" i="20"/>
  <c r="H1620" i="20"/>
  <c r="H1621" i="20"/>
  <c r="H1622" i="20"/>
  <c r="H1623" i="20"/>
  <c r="H1624" i="20"/>
  <c r="H1625" i="20"/>
  <c r="H1626" i="20"/>
  <c r="H1627" i="20"/>
  <c r="H1628" i="20"/>
  <c r="H1629" i="20"/>
  <c r="H1630" i="20"/>
  <c r="H1631" i="20"/>
  <c r="H1632" i="20"/>
  <c r="H1633" i="20"/>
  <c r="H1634" i="20"/>
  <c r="H1635" i="20"/>
  <c r="H1636" i="20"/>
  <c r="H1637" i="20"/>
  <c r="H1638" i="20"/>
  <c r="H1639" i="20"/>
  <c r="H1640" i="20"/>
  <c r="H1641" i="20"/>
  <c r="H1642" i="20"/>
  <c r="H1643" i="20"/>
  <c r="H1644" i="20"/>
  <c r="H1645" i="20"/>
  <c r="H1646" i="20"/>
  <c r="H1647" i="20"/>
  <c r="H1648" i="20"/>
  <c r="H1649" i="20"/>
  <c r="H1650" i="20"/>
  <c r="H1651" i="20"/>
  <c r="H1652" i="20"/>
  <c r="H1653" i="20"/>
  <c r="H1654" i="20"/>
  <c r="H1655" i="20"/>
  <c r="H1656" i="20"/>
  <c r="H1657" i="20"/>
  <c r="H1658" i="20"/>
  <c r="H1659" i="20"/>
  <c r="H1660" i="20"/>
  <c r="H1661" i="20"/>
  <c r="H1662" i="20"/>
  <c r="H1663" i="20"/>
  <c r="H1664" i="20"/>
  <c r="H1665" i="20"/>
  <c r="H1666" i="20"/>
  <c r="H1667" i="20"/>
  <c r="H1668" i="20"/>
  <c r="H1669" i="20"/>
  <c r="H1670" i="20"/>
  <c r="H1671" i="20"/>
  <c r="H1672" i="20"/>
  <c r="H1673" i="20"/>
  <c r="H1674" i="20"/>
  <c r="H1675" i="20"/>
  <c r="H1676" i="20"/>
  <c r="H1677" i="20"/>
  <c r="H1678" i="20"/>
  <c r="H1679" i="20"/>
  <c r="H1680" i="20"/>
  <c r="H1681" i="20"/>
  <c r="H1682" i="20"/>
  <c r="H1683" i="20"/>
  <c r="H1684" i="20"/>
  <c r="H1685" i="20"/>
  <c r="H1686" i="20"/>
  <c r="H1687" i="20"/>
  <c r="H1688" i="20"/>
  <c r="H1689" i="20"/>
  <c r="H1690" i="20"/>
  <c r="H1691" i="20"/>
  <c r="H1692" i="20"/>
  <c r="H1693" i="20"/>
  <c r="H1694" i="20"/>
  <c r="H1695" i="20"/>
  <c r="H1696" i="20"/>
  <c r="H1697" i="20"/>
  <c r="H1698" i="20"/>
  <c r="H1699" i="20"/>
  <c r="H1700" i="20"/>
  <c r="H1701" i="20"/>
  <c r="H1702" i="20"/>
  <c r="H1703" i="20"/>
  <c r="H1704" i="20"/>
  <c r="H1705" i="20"/>
  <c r="H1706" i="20"/>
  <c r="H1707" i="20"/>
  <c r="H1708" i="20"/>
  <c r="H1709" i="20"/>
  <c r="H1710" i="20"/>
  <c r="H1711" i="20"/>
  <c r="H1712" i="20"/>
  <c r="H1713" i="20"/>
  <c r="H1714" i="20"/>
  <c r="H1715" i="20"/>
  <c r="H1716" i="20"/>
  <c r="H1717" i="20"/>
  <c r="H1718" i="20"/>
  <c r="H1719" i="20"/>
  <c r="H1720" i="20"/>
  <c r="H1721" i="20"/>
  <c r="H1722" i="20"/>
  <c r="H1723" i="20"/>
  <c r="H1724" i="20"/>
  <c r="H1725" i="20"/>
  <c r="H1726" i="20"/>
  <c r="H1727" i="20"/>
  <c r="H1728" i="20"/>
  <c r="H1729" i="20"/>
  <c r="H1730" i="20"/>
  <c r="H1731" i="20"/>
  <c r="H1732" i="20"/>
  <c r="H1733" i="20"/>
  <c r="H1734" i="20"/>
  <c r="H1735" i="20"/>
  <c r="H1736" i="20"/>
  <c r="H1737" i="20"/>
  <c r="H1738" i="20"/>
  <c r="H1739" i="20"/>
  <c r="H1740" i="20"/>
  <c r="H1741" i="20"/>
  <c r="H1742" i="20"/>
  <c r="H1743" i="20"/>
  <c r="H1744" i="20"/>
  <c r="H1745" i="20"/>
  <c r="H1746" i="20"/>
  <c r="H1747" i="20"/>
  <c r="H1748" i="20"/>
  <c r="H1749" i="20"/>
  <c r="H1750" i="20"/>
  <c r="H1751" i="20"/>
  <c r="H1752" i="20"/>
  <c r="H1753" i="20"/>
  <c r="H1754" i="20"/>
  <c r="H1755" i="20"/>
  <c r="H1756" i="20"/>
  <c r="H1757" i="20"/>
  <c r="H1758" i="20"/>
  <c r="H1759" i="20"/>
  <c r="H1760" i="20"/>
  <c r="H1761" i="20"/>
  <c r="H1762" i="20"/>
  <c r="H1763" i="20"/>
  <c r="H1764" i="20"/>
  <c r="H1765" i="20"/>
  <c r="H1766" i="20"/>
  <c r="H1767" i="20"/>
  <c r="H1768" i="20"/>
  <c r="H1769" i="20"/>
  <c r="H1770" i="20"/>
  <c r="H1771" i="20"/>
  <c r="H1772" i="20"/>
  <c r="H1773" i="20"/>
  <c r="H1774" i="20"/>
  <c r="H1775" i="20"/>
  <c r="H1776" i="20"/>
  <c r="H1777" i="20"/>
  <c r="H1778" i="20"/>
  <c r="H1779" i="20"/>
  <c r="H1780" i="20"/>
  <c r="H1781" i="20"/>
  <c r="H1782" i="20"/>
  <c r="H1783" i="20"/>
  <c r="H1784" i="20"/>
  <c r="H1785" i="20"/>
  <c r="H1786" i="20"/>
  <c r="H1787" i="20"/>
  <c r="H1788" i="20"/>
  <c r="H1789" i="20"/>
  <c r="H1790" i="20"/>
  <c r="H1791" i="20"/>
  <c r="H1792" i="20"/>
  <c r="H1793" i="20"/>
  <c r="H1794" i="20"/>
  <c r="H1795" i="20"/>
  <c r="H1796" i="20"/>
  <c r="H1797" i="20"/>
  <c r="H1798" i="20"/>
  <c r="H1799" i="20"/>
  <c r="H1800" i="20"/>
  <c r="H1801" i="20"/>
  <c r="H1802" i="20"/>
  <c r="H1803" i="20"/>
  <c r="H1804" i="20"/>
  <c r="H1805" i="20"/>
  <c r="H1806" i="20"/>
  <c r="H1807" i="20"/>
  <c r="H1808" i="20"/>
  <c r="H1809" i="20"/>
  <c r="H1810" i="20"/>
  <c r="H1811" i="20"/>
  <c r="H1812" i="20"/>
  <c r="H1813" i="20"/>
  <c r="H1814" i="20"/>
  <c r="H1815" i="20"/>
  <c r="H1816" i="20"/>
  <c r="H1817" i="20"/>
  <c r="H1818" i="20"/>
  <c r="H1819" i="20"/>
  <c r="H1820" i="20"/>
  <c r="H1821" i="20"/>
  <c r="H1822" i="20"/>
  <c r="H1823" i="20"/>
  <c r="H1824" i="20"/>
  <c r="H1825" i="20"/>
  <c r="H1826" i="20"/>
  <c r="H1827" i="20"/>
  <c r="H1828" i="20"/>
  <c r="H1829" i="20"/>
  <c r="H1830" i="20"/>
  <c r="H1831" i="20"/>
  <c r="H1832" i="20"/>
  <c r="H1833" i="20"/>
  <c r="H1834" i="20"/>
  <c r="H1835" i="20"/>
  <c r="H1836" i="20"/>
  <c r="H1837" i="20"/>
  <c r="H1838" i="20"/>
  <c r="H1839" i="20"/>
  <c r="H1840" i="20"/>
  <c r="H1841" i="20"/>
  <c r="H1842" i="20"/>
  <c r="H1843" i="20"/>
  <c r="H1844" i="20"/>
  <c r="H1845" i="20"/>
  <c r="H1846" i="20"/>
  <c r="H1847" i="20"/>
  <c r="H1848" i="20"/>
  <c r="H1849" i="20"/>
  <c r="H1850" i="20"/>
  <c r="H1851" i="20"/>
  <c r="H1852" i="20"/>
  <c r="H1853" i="20"/>
  <c r="H1854" i="20"/>
  <c r="H1855" i="20"/>
  <c r="H1856" i="20"/>
  <c r="H1857" i="20"/>
  <c r="H1858" i="20"/>
  <c r="H1859" i="20"/>
  <c r="H1860" i="20"/>
  <c r="H1861" i="20"/>
  <c r="H1862" i="20"/>
  <c r="H1863" i="20"/>
  <c r="H1864" i="20"/>
  <c r="H1865" i="20"/>
  <c r="H1866" i="20"/>
  <c r="H1867" i="20"/>
  <c r="H1868" i="20"/>
  <c r="H1869" i="20"/>
  <c r="H1870" i="20"/>
  <c r="H1871" i="20"/>
  <c r="H1872" i="20"/>
  <c r="H1873" i="20"/>
  <c r="H1874" i="20"/>
  <c r="H1875" i="20"/>
  <c r="H1876" i="20"/>
  <c r="H1877" i="20"/>
  <c r="H1878" i="20"/>
  <c r="H1879" i="20"/>
  <c r="H1880" i="20"/>
  <c r="H1881" i="20"/>
  <c r="H1882" i="20"/>
  <c r="H1883" i="20"/>
  <c r="H1884" i="20"/>
  <c r="H1885" i="20"/>
  <c r="H1886" i="20"/>
  <c r="H1887" i="20"/>
  <c r="H1888" i="20"/>
  <c r="H1889" i="20"/>
  <c r="H1890" i="20"/>
  <c r="H1891" i="20"/>
  <c r="H1892" i="20"/>
  <c r="H1893" i="20"/>
  <c r="H1894" i="20"/>
  <c r="H1895" i="20"/>
  <c r="H1896" i="20"/>
  <c r="H1897" i="20"/>
  <c r="H1898" i="20"/>
  <c r="H1899" i="20"/>
  <c r="H1900" i="20"/>
  <c r="H1901" i="20"/>
  <c r="H1902" i="20"/>
  <c r="H1903" i="20"/>
  <c r="H1904" i="20"/>
  <c r="H1905" i="20"/>
  <c r="H1906" i="20"/>
  <c r="H1907" i="20"/>
  <c r="H1908" i="20"/>
  <c r="H1909" i="20"/>
  <c r="H1910" i="20"/>
  <c r="H1911" i="20"/>
  <c r="H1912" i="20"/>
  <c r="H1913" i="20"/>
  <c r="H1914" i="20"/>
  <c r="H1915" i="20"/>
  <c r="H1916" i="20"/>
  <c r="H1917" i="20"/>
  <c r="H1918" i="20"/>
  <c r="H1919" i="20"/>
  <c r="H1920" i="20"/>
  <c r="H1921" i="20"/>
  <c r="H1922" i="20"/>
  <c r="H1923" i="20"/>
  <c r="H1924" i="20"/>
  <c r="H1925" i="20"/>
  <c r="H1926" i="20"/>
  <c r="H1927" i="20"/>
  <c r="H1928" i="20"/>
  <c r="H1929" i="20"/>
  <c r="H1930" i="20"/>
  <c r="H1931" i="20"/>
  <c r="H1932" i="20"/>
  <c r="H1933" i="20"/>
  <c r="H1934" i="20"/>
  <c r="H1935" i="20"/>
  <c r="H1936" i="20"/>
  <c r="H1937" i="20"/>
  <c r="H1938" i="20"/>
  <c r="H1939" i="20"/>
  <c r="H1940" i="20"/>
  <c r="H1941" i="20"/>
  <c r="H1942" i="20"/>
  <c r="H1943" i="20"/>
  <c r="H1944" i="20"/>
  <c r="H1945" i="20"/>
  <c r="H1946" i="20"/>
  <c r="H1947" i="20"/>
  <c r="H1948" i="20"/>
  <c r="H1949" i="20"/>
  <c r="H1950" i="20"/>
  <c r="H1951" i="20"/>
  <c r="H1952" i="20"/>
  <c r="H1953" i="20"/>
  <c r="H1954" i="20"/>
  <c r="H1955" i="20"/>
  <c r="H1956" i="20"/>
  <c r="H1957" i="20"/>
  <c r="H1958" i="20"/>
  <c r="H1959" i="20"/>
  <c r="H1960" i="20"/>
  <c r="H1961" i="20"/>
  <c r="H1962" i="20"/>
  <c r="H1963" i="20"/>
  <c r="H1964" i="20"/>
  <c r="H1965" i="20"/>
  <c r="H1966" i="20"/>
  <c r="H1967" i="20"/>
  <c r="H1968" i="20"/>
  <c r="H1969" i="20"/>
  <c r="H1970" i="20"/>
  <c r="H1971" i="20"/>
  <c r="H1972" i="20"/>
  <c r="H1973" i="20"/>
  <c r="H1974" i="20"/>
  <c r="H1975" i="20"/>
  <c r="H1976" i="20"/>
  <c r="H1977" i="20"/>
  <c r="H1978" i="20"/>
  <c r="H1979" i="20"/>
  <c r="H1980" i="20"/>
  <c r="H1981" i="20"/>
  <c r="H1982" i="20"/>
  <c r="H1983" i="20"/>
  <c r="H1984" i="20"/>
  <c r="H1985" i="20"/>
  <c r="H1986" i="20"/>
  <c r="H1987" i="20"/>
  <c r="H1988" i="20"/>
  <c r="H1989" i="20"/>
  <c r="H1990" i="20"/>
  <c r="H1991" i="20"/>
  <c r="H1992" i="20"/>
  <c r="H1993" i="20"/>
  <c r="H1994" i="20"/>
  <c r="H1995" i="20"/>
  <c r="H1996" i="20"/>
  <c r="H1997" i="20"/>
  <c r="H1998" i="20"/>
  <c r="H1999" i="20"/>
  <c r="H2000" i="20"/>
  <c r="H2001" i="20"/>
  <c r="H2002" i="20"/>
  <c r="H2003" i="20"/>
  <c r="H2004" i="20"/>
  <c r="H2005" i="20"/>
  <c r="H2006" i="20"/>
  <c r="H2007" i="20"/>
  <c r="H2008" i="20"/>
  <c r="H2009" i="20"/>
  <c r="H2010" i="20"/>
  <c r="H2011" i="20"/>
  <c r="H2012" i="20"/>
  <c r="H2013" i="20"/>
  <c r="H2014" i="20"/>
  <c r="H2015" i="20"/>
  <c r="H2016" i="20"/>
  <c r="H2017" i="20"/>
  <c r="H2018" i="20"/>
  <c r="H2019" i="20"/>
  <c r="H2020" i="20"/>
  <c r="H2021" i="20"/>
  <c r="H2022" i="20"/>
  <c r="H2023" i="20"/>
  <c r="H2024" i="20"/>
  <c r="H2025" i="20"/>
  <c r="H2026" i="20"/>
  <c r="H2027" i="20"/>
  <c r="H2028" i="20"/>
  <c r="H2029" i="20"/>
  <c r="H2030" i="20"/>
  <c r="H2031" i="20"/>
  <c r="H2032" i="20"/>
  <c r="H2033" i="20"/>
  <c r="H2034" i="20"/>
  <c r="H2035" i="20"/>
  <c r="H2036" i="20"/>
  <c r="H2037" i="20"/>
  <c r="H2038" i="20"/>
  <c r="H2039" i="20"/>
  <c r="H2040" i="20"/>
  <c r="H2041" i="20"/>
  <c r="H2042" i="20"/>
  <c r="H2043" i="20"/>
  <c r="H2044" i="20"/>
  <c r="H2045" i="20"/>
  <c r="H2046" i="20"/>
  <c r="H2047" i="20"/>
  <c r="H2048" i="20"/>
  <c r="H2049" i="20"/>
  <c r="H2050" i="20"/>
  <c r="H2051" i="20"/>
  <c r="H2052" i="20"/>
  <c r="H2053" i="20"/>
  <c r="H2054" i="20"/>
  <c r="H2055" i="20"/>
  <c r="H2056" i="20"/>
  <c r="H2057" i="20"/>
  <c r="H2058" i="20"/>
  <c r="H2059" i="20"/>
  <c r="H2060" i="20"/>
  <c r="H2061" i="20"/>
  <c r="H2062" i="20"/>
  <c r="H2063" i="20"/>
  <c r="H2064" i="20"/>
  <c r="H2065" i="20"/>
  <c r="H2066" i="20"/>
  <c r="H2067" i="20"/>
  <c r="H2068" i="20"/>
  <c r="H2069" i="20"/>
  <c r="H2070" i="20"/>
  <c r="H2071" i="20"/>
  <c r="H2072" i="20"/>
  <c r="H2073" i="20"/>
  <c r="H2074" i="20"/>
  <c r="H2075" i="20"/>
  <c r="H2076" i="20"/>
  <c r="H2077" i="20"/>
  <c r="H2078" i="20"/>
  <c r="H2079" i="20"/>
  <c r="H2080" i="20"/>
  <c r="H2081" i="20"/>
  <c r="H2082" i="20"/>
  <c r="H2083" i="20"/>
  <c r="H2084" i="20"/>
  <c r="H2085" i="20"/>
  <c r="H2086" i="20"/>
  <c r="H2087" i="20"/>
  <c r="H2088" i="20"/>
  <c r="H2089" i="20"/>
  <c r="H2090" i="20"/>
  <c r="H2091" i="20"/>
  <c r="H2092" i="20"/>
  <c r="H2093" i="20"/>
  <c r="H2094" i="20"/>
  <c r="H2095" i="20"/>
  <c r="H2096" i="20"/>
  <c r="H2097" i="20"/>
  <c r="H2098" i="20"/>
  <c r="H2099" i="20"/>
  <c r="H2100" i="20"/>
  <c r="H2101" i="20"/>
  <c r="H2102" i="20"/>
  <c r="H2103" i="20"/>
  <c r="H2104" i="20"/>
  <c r="H2105" i="20"/>
  <c r="H2106" i="20"/>
  <c r="H2107" i="20"/>
  <c r="H2108" i="20"/>
  <c r="H2109" i="20"/>
  <c r="H2110" i="20"/>
  <c r="H2111" i="20"/>
  <c r="H2112" i="20"/>
  <c r="H2113" i="20"/>
  <c r="H2114" i="20"/>
  <c r="H2115" i="20"/>
  <c r="H2116" i="20"/>
  <c r="H2117" i="20"/>
  <c r="H2118" i="20"/>
  <c r="H2119" i="20"/>
  <c r="H2120" i="20"/>
  <c r="H2121" i="20"/>
  <c r="H2122" i="20"/>
  <c r="H2123" i="20"/>
  <c r="H2124" i="20"/>
  <c r="H2125" i="20"/>
  <c r="H2126" i="20"/>
  <c r="H2127" i="20"/>
  <c r="H2128" i="20"/>
  <c r="H2129" i="20"/>
  <c r="H2130" i="20"/>
  <c r="H2131" i="20"/>
  <c r="H2132" i="20"/>
  <c r="H2133" i="20"/>
  <c r="H2134" i="20"/>
  <c r="H2135" i="20"/>
  <c r="H2136" i="20"/>
  <c r="H2137" i="20"/>
  <c r="H2138" i="20"/>
  <c r="H2139" i="20"/>
  <c r="H2140" i="20"/>
  <c r="H2141" i="20"/>
  <c r="H2142" i="20"/>
  <c r="H2143" i="20"/>
  <c r="H2144" i="20"/>
  <c r="H2145" i="20"/>
  <c r="H2146" i="20"/>
  <c r="H2147" i="20"/>
  <c r="H2148" i="20"/>
  <c r="H2149" i="20"/>
  <c r="H2150" i="20"/>
  <c r="H2151" i="20"/>
  <c r="H2152" i="20"/>
  <c r="H2153" i="20"/>
  <c r="H2154" i="20"/>
  <c r="H2155" i="20"/>
  <c r="H2156" i="20"/>
  <c r="H2157" i="20"/>
  <c r="H2158" i="20"/>
  <c r="H2159" i="20"/>
  <c r="H2160" i="20"/>
  <c r="H2161" i="20"/>
  <c r="H2162" i="20"/>
  <c r="H2163" i="20"/>
  <c r="H2164" i="20"/>
  <c r="H2165" i="20"/>
  <c r="H2166" i="20"/>
  <c r="H2167" i="20"/>
  <c r="H2168" i="20"/>
  <c r="H2169" i="20"/>
  <c r="H2170" i="20"/>
  <c r="H2171" i="20"/>
  <c r="H2172" i="20"/>
  <c r="H2173" i="20"/>
  <c r="H2174" i="20"/>
  <c r="H2175" i="20"/>
  <c r="H2176" i="20"/>
  <c r="H2177" i="20"/>
  <c r="H2178" i="20"/>
  <c r="H2179" i="20"/>
  <c r="H2180" i="20"/>
  <c r="H2181" i="20"/>
  <c r="H2182" i="20"/>
  <c r="H2183" i="20"/>
  <c r="H2184" i="20"/>
  <c r="H2185" i="20"/>
  <c r="H2186" i="20"/>
  <c r="H2187" i="20"/>
  <c r="H2188" i="20"/>
  <c r="H2189" i="20"/>
  <c r="H2190" i="20"/>
  <c r="H2191" i="20"/>
  <c r="H2192" i="20"/>
  <c r="H2193" i="20"/>
  <c r="H2194" i="20"/>
  <c r="H2195" i="20"/>
  <c r="H2196" i="20"/>
  <c r="H2197" i="20"/>
  <c r="H2198" i="20"/>
  <c r="H2199" i="20"/>
  <c r="H2200" i="20"/>
  <c r="H2201" i="20"/>
  <c r="H2202" i="20"/>
  <c r="H2203" i="20"/>
  <c r="H2204" i="20"/>
  <c r="H2205" i="20"/>
  <c r="H2206" i="20"/>
  <c r="H2207" i="20"/>
  <c r="H2208" i="20"/>
  <c r="H2209" i="20"/>
  <c r="H2210" i="20"/>
  <c r="H2211" i="20"/>
  <c r="H2212" i="20"/>
  <c r="H2213" i="20"/>
  <c r="H2214" i="20"/>
  <c r="H2215" i="20"/>
  <c r="H2216" i="20"/>
  <c r="H2217" i="20"/>
  <c r="H2218" i="20"/>
  <c r="H2219" i="20"/>
  <c r="H2220" i="20"/>
  <c r="H2221" i="20"/>
  <c r="H2222" i="20"/>
  <c r="H2223" i="20"/>
  <c r="H2224" i="20"/>
  <c r="H2225" i="20"/>
  <c r="H2226" i="20"/>
  <c r="H2227" i="20"/>
  <c r="H2228" i="20"/>
  <c r="H2229" i="20"/>
  <c r="H2230" i="20"/>
  <c r="H2231" i="20"/>
  <c r="H2232" i="20"/>
  <c r="H2233" i="20"/>
  <c r="H2234" i="20"/>
  <c r="H2235" i="20"/>
  <c r="H2236" i="20"/>
  <c r="H2237" i="20"/>
  <c r="H2238" i="20"/>
  <c r="H2239" i="20"/>
  <c r="H2240" i="20"/>
  <c r="H2241" i="20"/>
  <c r="H2242" i="20"/>
  <c r="H2243" i="20"/>
  <c r="H2244" i="20"/>
  <c r="H2245" i="20"/>
  <c r="H2246" i="20"/>
  <c r="H2247" i="20"/>
  <c r="H2248" i="20"/>
  <c r="H2249" i="20"/>
  <c r="H2250" i="20"/>
  <c r="H2251" i="20"/>
  <c r="H2252" i="20"/>
  <c r="H2253" i="20"/>
  <c r="H2254" i="20"/>
  <c r="H2255" i="20"/>
  <c r="H2256" i="20"/>
  <c r="H2257" i="20"/>
  <c r="H2258" i="20"/>
  <c r="H2259" i="20"/>
  <c r="H2260" i="20"/>
  <c r="H2261" i="20"/>
  <c r="H2262" i="20"/>
  <c r="H2263" i="20"/>
  <c r="H2264" i="20"/>
  <c r="H2265" i="20"/>
  <c r="H2266" i="20"/>
  <c r="H2267" i="20"/>
  <c r="H2268" i="20"/>
  <c r="H2269" i="20"/>
  <c r="H2270" i="20"/>
  <c r="H2271" i="20"/>
  <c r="H2272" i="20"/>
  <c r="H2273" i="20"/>
  <c r="H2274" i="20"/>
  <c r="H2275" i="20"/>
  <c r="H2276" i="20"/>
  <c r="H2277" i="20"/>
  <c r="H2278" i="20"/>
  <c r="H2279" i="20"/>
  <c r="H2280" i="20"/>
  <c r="H2281" i="20"/>
  <c r="H2282" i="20"/>
  <c r="H2283" i="20"/>
  <c r="H2284" i="20"/>
  <c r="H2285" i="20"/>
  <c r="H2286" i="20"/>
  <c r="H2287" i="20"/>
  <c r="H2288" i="20"/>
  <c r="H2289" i="20"/>
  <c r="H2290" i="20"/>
  <c r="H2291" i="20"/>
  <c r="H2292" i="20"/>
  <c r="H2293" i="20"/>
  <c r="H2294" i="20"/>
  <c r="H2295" i="20"/>
  <c r="H2296" i="20"/>
  <c r="H2297" i="20"/>
  <c r="H2298" i="20"/>
  <c r="H2299" i="20"/>
  <c r="H2300" i="20"/>
  <c r="H2301" i="20"/>
  <c r="H2302" i="20"/>
  <c r="H2303" i="20"/>
  <c r="H2304" i="20"/>
  <c r="H2305" i="20"/>
  <c r="H2306" i="20"/>
  <c r="H2307" i="20"/>
  <c r="H2308" i="20"/>
  <c r="H2309" i="20"/>
  <c r="H2310" i="20"/>
  <c r="H2311" i="20"/>
  <c r="H2312" i="20"/>
  <c r="H2313" i="20"/>
  <c r="H2314" i="20"/>
  <c r="H2315" i="20"/>
  <c r="H2316" i="20"/>
  <c r="H2317" i="20"/>
  <c r="H2318" i="20"/>
  <c r="H2319" i="20"/>
  <c r="H2320" i="20"/>
  <c r="H2321" i="20"/>
  <c r="H2322" i="20"/>
  <c r="H2323" i="20"/>
  <c r="H2324" i="20"/>
  <c r="H2325" i="20"/>
  <c r="H2326" i="20"/>
  <c r="H2327" i="20"/>
  <c r="H2328" i="20"/>
  <c r="H2329" i="20"/>
  <c r="H2330" i="20"/>
  <c r="H2331" i="20"/>
  <c r="H2332" i="20"/>
  <c r="H2333" i="20"/>
  <c r="H2334" i="20"/>
  <c r="H2335" i="20"/>
  <c r="H2336" i="20"/>
  <c r="H2337" i="20"/>
  <c r="H2338" i="20"/>
  <c r="H2339" i="20"/>
  <c r="H2340" i="20"/>
  <c r="H2341" i="20"/>
  <c r="H2342" i="20"/>
  <c r="H2343" i="20"/>
  <c r="H2344" i="20"/>
  <c r="H2345" i="20"/>
  <c r="H2346" i="20"/>
  <c r="H2347" i="20"/>
  <c r="H2348" i="20"/>
  <c r="H2349" i="20"/>
  <c r="H2350" i="20"/>
  <c r="H2351" i="20"/>
  <c r="H2352" i="20"/>
  <c r="H2353" i="20"/>
  <c r="H2354" i="20"/>
  <c r="H2355" i="20"/>
  <c r="H2356" i="20"/>
  <c r="H2357" i="20"/>
  <c r="H2358" i="20"/>
  <c r="H2359" i="20"/>
  <c r="H2360" i="20"/>
  <c r="H2361" i="20"/>
  <c r="H2362" i="20"/>
  <c r="H2363" i="20"/>
  <c r="H2364" i="20"/>
  <c r="H2365" i="20"/>
  <c r="H2366" i="20"/>
  <c r="H2367" i="20"/>
  <c r="H2368" i="20"/>
  <c r="H2369" i="20"/>
  <c r="H2370" i="20"/>
  <c r="H2371" i="20"/>
  <c r="H2372" i="20"/>
  <c r="H2373" i="20"/>
  <c r="H2374" i="20"/>
  <c r="H2375" i="20"/>
  <c r="H2376" i="20"/>
  <c r="H2377" i="20"/>
  <c r="H2378" i="20"/>
  <c r="H2379" i="20"/>
  <c r="H2380" i="20"/>
  <c r="H2381" i="20"/>
  <c r="H2382" i="20"/>
  <c r="H2383" i="20"/>
  <c r="H2384" i="20"/>
  <c r="H2385" i="20"/>
  <c r="H2386" i="20"/>
  <c r="H2387" i="20"/>
  <c r="H2388" i="20"/>
  <c r="H2389" i="20"/>
  <c r="H2390" i="20"/>
  <c r="H2391" i="20"/>
  <c r="H2392" i="20"/>
  <c r="H2393" i="20"/>
  <c r="H2394" i="20"/>
  <c r="H2395" i="20"/>
  <c r="H2396" i="20"/>
  <c r="H2397" i="20"/>
  <c r="H2398" i="20"/>
  <c r="H2399" i="20"/>
  <c r="H2400" i="20"/>
  <c r="H2401" i="20"/>
  <c r="H2402" i="20"/>
  <c r="H2403" i="20"/>
  <c r="H2404" i="20"/>
  <c r="H2405" i="20"/>
  <c r="H2406" i="20"/>
  <c r="H2407" i="20"/>
  <c r="H2408" i="20"/>
  <c r="H2409" i="20"/>
  <c r="H2410" i="20"/>
  <c r="H2411" i="20"/>
  <c r="H2412" i="20"/>
  <c r="H2413" i="20"/>
  <c r="H2414" i="20"/>
  <c r="H2415" i="20"/>
  <c r="H2416" i="20"/>
  <c r="H2417" i="20"/>
  <c r="H2418" i="20"/>
  <c r="H2419" i="20"/>
  <c r="H2420" i="20"/>
  <c r="H2421" i="20"/>
  <c r="H2422" i="20"/>
  <c r="H2423" i="20"/>
  <c r="H2424" i="20"/>
  <c r="H2425" i="20"/>
  <c r="H2426" i="20"/>
  <c r="H2427" i="20"/>
  <c r="H2428" i="20"/>
  <c r="H2429" i="20"/>
  <c r="H2430" i="20"/>
  <c r="H2431" i="20"/>
  <c r="H2432" i="20"/>
  <c r="H2433" i="20"/>
  <c r="H2434" i="20"/>
  <c r="H2435" i="20"/>
  <c r="H2436" i="20"/>
  <c r="H2437" i="20"/>
  <c r="H2438" i="20"/>
  <c r="H2439" i="20"/>
  <c r="H2440" i="20"/>
  <c r="H2441" i="20"/>
  <c r="H2442" i="20"/>
  <c r="H2443" i="20"/>
  <c r="H2444" i="20"/>
  <c r="H2445" i="20"/>
  <c r="H2446" i="20"/>
  <c r="H2447" i="20"/>
  <c r="H2448" i="20"/>
  <c r="H2449" i="20"/>
  <c r="H2450" i="20"/>
  <c r="H2451" i="20"/>
  <c r="H2452" i="20"/>
  <c r="H2453" i="20"/>
  <c r="H2454" i="20"/>
  <c r="H2455" i="20"/>
  <c r="H2456" i="20"/>
  <c r="H2457" i="20"/>
  <c r="H2458" i="20"/>
  <c r="H2459" i="20"/>
  <c r="H2460" i="20"/>
  <c r="H2461" i="20"/>
  <c r="H2462" i="20"/>
  <c r="H2463" i="20"/>
  <c r="H2464" i="20"/>
  <c r="H2465" i="20"/>
  <c r="H2466" i="20"/>
  <c r="H2467" i="20"/>
  <c r="H2468" i="20"/>
  <c r="H2469" i="20"/>
  <c r="H2470" i="20"/>
  <c r="H2471" i="20"/>
  <c r="H2472" i="20"/>
  <c r="H2473" i="20"/>
  <c r="H2474" i="20"/>
  <c r="H2475" i="20"/>
  <c r="H2476" i="20"/>
  <c r="H2477" i="20"/>
  <c r="H2478" i="20"/>
  <c r="H2479" i="20"/>
  <c r="H2480" i="20"/>
  <c r="H2481" i="20"/>
  <c r="H2482" i="20"/>
  <c r="H2483" i="20"/>
  <c r="H2484" i="20"/>
  <c r="H2485" i="20"/>
  <c r="H2486" i="20"/>
  <c r="H2487" i="20"/>
  <c r="H2488" i="20"/>
  <c r="H2489" i="20"/>
  <c r="H2490" i="20"/>
  <c r="H2491" i="20"/>
  <c r="H2492" i="20"/>
  <c r="H2493" i="20"/>
  <c r="H2494" i="20"/>
  <c r="H2495" i="20"/>
  <c r="H2496" i="20"/>
  <c r="H2497" i="20"/>
  <c r="H2498" i="20"/>
  <c r="H2499" i="20"/>
  <c r="H2500" i="20"/>
  <c r="H2501" i="20"/>
  <c r="H2502" i="20"/>
  <c r="H2503" i="20"/>
  <c r="H2504" i="20"/>
  <c r="H2505" i="20"/>
  <c r="H2506" i="20"/>
  <c r="H2507" i="20"/>
  <c r="H2508" i="20"/>
  <c r="H2509" i="20"/>
  <c r="H2510" i="20"/>
  <c r="H2511" i="20"/>
  <c r="H2512" i="20"/>
  <c r="H2513" i="20"/>
  <c r="H2514" i="20"/>
  <c r="H2515" i="20"/>
  <c r="H2516" i="20"/>
  <c r="H2517" i="20"/>
  <c r="H2518" i="20"/>
  <c r="H2519" i="20"/>
  <c r="H2520" i="20"/>
  <c r="H2521" i="20"/>
  <c r="H2522" i="20"/>
  <c r="H2523" i="20"/>
  <c r="H2524" i="20"/>
  <c r="H2525" i="20"/>
  <c r="H2526" i="20"/>
  <c r="H2527" i="20"/>
  <c r="H2528" i="20"/>
  <c r="H2529" i="20"/>
  <c r="H2530" i="20"/>
  <c r="H2531" i="20"/>
  <c r="H2532" i="20"/>
  <c r="H2533" i="20"/>
  <c r="H2534" i="20"/>
  <c r="H2535" i="20"/>
  <c r="H2536" i="20"/>
  <c r="H2537" i="20"/>
  <c r="H2538" i="20"/>
  <c r="H2539" i="20"/>
  <c r="H2540" i="20"/>
  <c r="H2541" i="20"/>
  <c r="H2542" i="20"/>
  <c r="H2543" i="20"/>
  <c r="H2544" i="20"/>
  <c r="H2545" i="20"/>
  <c r="H2546" i="20"/>
  <c r="H2547" i="20"/>
  <c r="H2548" i="20"/>
  <c r="H2549" i="20"/>
  <c r="H2550" i="20"/>
  <c r="H2551" i="20"/>
  <c r="H2552" i="20"/>
  <c r="H2553" i="20"/>
  <c r="H2554" i="20"/>
  <c r="H2555" i="20"/>
  <c r="H2556" i="20"/>
  <c r="H2557" i="20"/>
  <c r="H2558" i="20"/>
  <c r="H2559" i="20"/>
  <c r="H2560" i="20"/>
  <c r="H2561" i="20"/>
  <c r="H2562" i="20"/>
  <c r="H2563" i="20"/>
  <c r="H2564" i="20"/>
  <c r="H2565" i="20"/>
  <c r="H2566" i="20"/>
  <c r="H2567" i="20"/>
  <c r="H2568" i="20"/>
  <c r="H2569" i="20"/>
  <c r="H2570" i="20"/>
  <c r="H2571" i="20"/>
  <c r="H2572" i="20"/>
  <c r="H2573" i="20"/>
  <c r="H2574" i="20"/>
  <c r="H2575" i="20"/>
  <c r="H2576" i="20"/>
  <c r="H2577" i="20"/>
  <c r="H2578" i="20"/>
  <c r="H2579" i="20"/>
  <c r="H2580" i="20"/>
  <c r="H2581" i="20"/>
  <c r="H2582" i="20"/>
  <c r="H2583" i="20"/>
  <c r="H2584" i="20"/>
  <c r="H2585" i="20"/>
  <c r="H2586" i="20"/>
  <c r="H2587" i="20"/>
  <c r="H2588" i="20"/>
  <c r="H2589" i="20"/>
  <c r="H2590" i="20"/>
  <c r="H2591" i="20"/>
  <c r="H2592" i="20"/>
  <c r="H2593" i="20"/>
  <c r="H2594" i="20"/>
  <c r="H2595" i="20"/>
  <c r="H2596" i="20"/>
  <c r="H2597" i="20"/>
  <c r="H2598" i="20"/>
  <c r="H2599" i="20"/>
  <c r="H2600" i="20"/>
  <c r="H2601" i="20"/>
  <c r="H2602" i="20"/>
  <c r="H2603" i="20"/>
  <c r="H2604" i="20"/>
  <c r="H2605" i="20"/>
  <c r="H2606" i="20"/>
  <c r="H2607" i="20"/>
  <c r="H2608" i="20"/>
  <c r="H2609" i="20"/>
  <c r="H2610" i="20"/>
  <c r="H2611" i="20"/>
  <c r="H2612" i="20"/>
  <c r="H2613" i="20"/>
  <c r="H2614" i="20"/>
  <c r="H2615" i="20"/>
  <c r="H2616" i="20"/>
  <c r="H2617" i="20"/>
  <c r="H2618" i="20"/>
  <c r="H2619" i="20"/>
  <c r="H2620" i="20"/>
  <c r="H2621" i="20"/>
  <c r="H2622" i="20"/>
  <c r="H2623" i="20"/>
  <c r="H2624" i="20"/>
  <c r="H2625" i="20"/>
  <c r="H2626" i="20"/>
  <c r="H2627" i="20"/>
  <c r="H2628" i="20"/>
  <c r="H2629" i="20"/>
  <c r="H2630" i="20"/>
  <c r="H2631" i="20"/>
  <c r="H2632" i="20"/>
  <c r="H2633" i="20"/>
  <c r="H2634" i="20"/>
  <c r="H2635" i="20"/>
  <c r="H2636" i="20"/>
  <c r="H2637" i="20"/>
  <c r="H2638" i="20"/>
  <c r="H2639" i="20"/>
  <c r="H2640" i="20"/>
  <c r="H2641" i="20"/>
  <c r="H2642" i="20"/>
  <c r="H2643" i="20"/>
  <c r="H2644" i="20"/>
  <c r="H2645" i="20"/>
  <c r="H2646" i="20"/>
  <c r="H2647" i="20"/>
  <c r="H2648" i="20"/>
  <c r="H2649" i="20"/>
  <c r="H2650" i="20"/>
  <c r="H2651" i="20"/>
  <c r="H2652" i="20"/>
  <c r="H2653" i="20"/>
  <c r="H2654" i="20"/>
  <c r="H2655" i="20"/>
  <c r="H2656" i="20"/>
  <c r="H2657" i="20"/>
  <c r="H2658" i="20"/>
  <c r="H2659" i="20"/>
  <c r="H2660" i="20"/>
  <c r="H2661" i="20"/>
  <c r="H2662" i="20"/>
  <c r="H2663" i="20"/>
  <c r="H2664" i="20"/>
  <c r="H2665" i="20"/>
  <c r="H2666" i="20"/>
  <c r="H2667" i="20"/>
  <c r="H2668" i="20"/>
  <c r="H2669" i="20"/>
  <c r="H2670" i="20"/>
  <c r="H2671" i="20"/>
  <c r="H2672" i="20"/>
  <c r="H2673" i="20"/>
  <c r="H2674" i="20"/>
  <c r="H2675" i="20"/>
  <c r="H2676" i="20"/>
  <c r="H2677" i="20"/>
  <c r="H2678" i="20"/>
  <c r="H2679" i="20"/>
  <c r="H2680" i="20"/>
  <c r="H2681" i="20"/>
  <c r="H2682" i="20"/>
  <c r="H2683" i="20"/>
  <c r="H2684" i="20"/>
  <c r="H2685" i="20"/>
  <c r="H2686" i="20"/>
  <c r="H2687" i="20"/>
  <c r="H2688" i="20"/>
  <c r="H2689" i="20"/>
  <c r="H2690" i="20"/>
  <c r="H2691" i="20"/>
  <c r="H2692" i="20"/>
  <c r="H2693" i="20"/>
  <c r="H2694" i="20"/>
  <c r="H2695" i="20"/>
  <c r="H2696" i="20"/>
  <c r="H2697" i="20"/>
  <c r="H2698" i="20"/>
  <c r="H2699" i="20"/>
  <c r="H2700" i="20"/>
  <c r="H2701" i="20"/>
  <c r="H2702" i="20"/>
  <c r="H2703" i="20"/>
  <c r="H2704" i="20"/>
  <c r="H2705" i="20"/>
  <c r="H2706" i="20"/>
  <c r="H2707" i="20"/>
  <c r="H2708" i="20"/>
  <c r="H2709" i="20"/>
  <c r="H2710" i="20"/>
  <c r="H2711" i="20"/>
  <c r="H2712" i="20"/>
  <c r="H2713" i="20"/>
  <c r="H2714" i="20"/>
  <c r="H2715" i="20"/>
  <c r="H2716" i="20"/>
  <c r="H2717" i="20"/>
  <c r="H2718" i="20"/>
  <c r="H2719" i="20"/>
  <c r="H2720" i="20"/>
  <c r="H2721" i="20"/>
  <c r="H2722" i="20"/>
  <c r="H2723" i="20"/>
  <c r="H2724" i="20"/>
  <c r="H2725" i="20"/>
  <c r="H2726" i="20"/>
  <c r="H2727" i="20"/>
  <c r="H2728" i="20"/>
  <c r="H2729" i="20"/>
  <c r="H2730" i="20"/>
  <c r="H2731" i="20"/>
  <c r="H2732" i="20"/>
  <c r="H2733" i="20"/>
  <c r="H2734" i="20"/>
  <c r="H2735" i="20"/>
  <c r="H2736" i="20"/>
  <c r="H2737" i="20"/>
  <c r="H2738" i="20"/>
  <c r="H2739" i="20"/>
  <c r="H2740" i="20"/>
  <c r="H2741" i="20"/>
  <c r="H2742" i="20"/>
  <c r="H2743" i="20"/>
  <c r="H2744" i="20"/>
  <c r="H2745" i="20"/>
  <c r="H2746" i="20"/>
  <c r="H2747" i="20"/>
  <c r="H2748" i="20"/>
  <c r="H2749" i="20"/>
  <c r="H2750" i="20"/>
  <c r="H2751" i="20"/>
  <c r="H2752" i="20"/>
  <c r="H2753" i="20"/>
  <c r="H2754" i="20"/>
  <c r="H2755" i="20"/>
  <c r="H2756" i="20"/>
  <c r="H2757" i="20"/>
  <c r="H2758" i="20"/>
  <c r="H2759" i="20"/>
  <c r="H2760" i="20"/>
  <c r="H2761" i="20"/>
  <c r="H2762" i="20"/>
  <c r="H2763" i="20"/>
  <c r="H2764" i="20"/>
  <c r="H2765" i="20"/>
  <c r="H2766" i="20"/>
  <c r="H2767" i="20"/>
  <c r="H2768" i="20"/>
  <c r="H2769" i="20"/>
  <c r="H2770" i="20"/>
  <c r="H2771" i="20"/>
  <c r="H2772" i="20"/>
  <c r="H2773" i="20"/>
  <c r="H2774" i="20"/>
  <c r="H2775" i="20"/>
  <c r="H2776" i="20"/>
  <c r="H2777" i="20"/>
  <c r="H2778" i="20"/>
  <c r="H2779" i="20"/>
  <c r="H2780" i="20"/>
  <c r="H2781" i="20"/>
  <c r="H2782" i="20"/>
  <c r="H2783" i="20"/>
  <c r="H2784" i="20"/>
  <c r="H2785" i="20"/>
  <c r="H2786" i="20"/>
  <c r="H2787" i="20"/>
  <c r="H2788" i="20"/>
  <c r="H2789" i="20"/>
  <c r="H2790" i="20"/>
  <c r="H2791" i="20"/>
  <c r="H2792" i="20"/>
  <c r="H2793" i="20"/>
  <c r="H2794" i="20"/>
  <c r="H2795" i="20"/>
  <c r="H2796" i="20"/>
  <c r="H2797" i="20"/>
  <c r="H2798" i="20"/>
  <c r="H2799" i="20"/>
  <c r="H2800" i="20"/>
  <c r="H2801" i="20"/>
  <c r="H2802" i="20"/>
  <c r="H2803" i="20"/>
  <c r="H2804" i="20"/>
  <c r="H2805" i="20"/>
  <c r="H2806" i="20"/>
  <c r="H2807" i="20"/>
  <c r="H2808" i="20"/>
  <c r="H2809" i="20"/>
  <c r="H2810" i="20"/>
  <c r="H2811" i="20"/>
  <c r="H2812" i="20"/>
  <c r="H2813" i="20"/>
  <c r="H2814" i="20"/>
  <c r="H2815" i="20"/>
  <c r="H2816" i="20"/>
  <c r="H2817" i="20"/>
  <c r="H2818" i="20"/>
  <c r="H2819" i="20"/>
  <c r="H2820" i="20"/>
  <c r="H2821" i="20"/>
  <c r="H2822" i="20"/>
  <c r="H2823" i="20"/>
  <c r="H2824" i="20"/>
  <c r="H2825" i="20"/>
  <c r="H2826" i="20"/>
  <c r="H2827" i="20"/>
  <c r="H2828" i="20"/>
  <c r="H2829" i="20"/>
  <c r="H2830" i="20"/>
  <c r="H2831" i="20"/>
  <c r="H2832" i="20"/>
  <c r="H2833" i="20"/>
  <c r="H2834" i="20"/>
  <c r="H2835" i="20"/>
  <c r="H2836" i="20"/>
  <c r="H2837" i="20"/>
  <c r="H2838" i="20"/>
  <c r="H2839" i="20"/>
  <c r="H2840" i="20"/>
  <c r="H2841" i="20"/>
  <c r="H2842" i="20"/>
  <c r="H2843" i="20"/>
  <c r="H2844" i="20"/>
  <c r="H2845" i="20"/>
  <c r="H2846" i="20"/>
  <c r="H2847" i="20"/>
  <c r="H2848" i="20"/>
  <c r="H2849" i="20"/>
  <c r="H2850" i="20"/>
  <c r="H2851" i="20"/>
  <c r="H2852" i="20"/>
  <c r="H2853" i="20"/>
  <c r="H2854" i="20"/>
  <c r="H2855" i="20"/>
  <c r="H2856" i="20"/>
  <c r="H2857" i="20"/>
  <c r="H2858" i="20"/>
  <c r="H2859" i="20"/>
  <c r="H2860" i="20"/>
  <c r="H2861" i="20"/>
  <c r="H2862" i="20"/>
  <c r="H2863" i="20"/>
  <c r="H2864" i="20"/>
  <c r="H2865" i="20"/>
  <c r="H2866" i="20"/>
  <c r="H2867" i="20"/>
  <c r="H2868" i="20"/>
  <c r="H2869" i="20"/>
  <c r="H2870" i="20"/>
  <c r="H2871" i="20"/>
  <c r="H2872" i="20"/>
  <c r="H2873" i="20"/>
  <c r="H2874" i="20"/>
  <c r="H2875" i="20"/>
  <c r="H2876" i="20"/>
  <c r="H2877" i="20"/>
  <c r="H2878" i="20"/>
  <c r="H2879" i="20"/>
  <c r="H2880" i="20"/>
  <c r="H2881" i="20"/>
  <c r="H2882" i="20"/>
  <c r="H2883" i="20"/>
  <c r="H2884" i="20"/>
  <c r="H2885" i="20"/>
  <c r="H2886" i="20"/>
  <c r="H2887" i="20"/>
  <c r="H2888" i="20"/>
  <c r="H2889" i="20"/>
  <c r="H2890" i="20"/>
  <c r="H2891" i="20"/>
  <c r="H2892" i="20"/>
  <c r="H2893" i="20"/>
  <c r="H2894" i="20"/>
  <c r="H2895" i="20"/>
  <c r="H2896" i="20"/>
  <c r="H2897" i="20"/>
  <c r="H2898" i="20"/>
  <c r="H2899" i="20"/>
  <c r="H2900" i="20"/>
  <c r="H2901" i="20"/>
  <c r="H2902" i="20"/>
  <c r="H2903" i="20"/>
  <c r="H2904" i="20"/>
  <c r="H2905" i="20"/>
  <c r="H2906" i="20"/>
  <c r="H2907" i="20"/>
  <c r="H2908" i="20"/>
  <c r="H2909" i="20"/>
  <c r="H2910" i="20"/>
  <c r="H2911" i="20"/>
  <c r="H2912" i="20"/>
  <c r="H2913" i="20"/>
  <c r="H2914" i="20"/>
  <c r="H2915" i="20"/>
  <c r="H2916" i="20"/>
  <c r="H2917" i="20"/>
  <c r="H2918" i="20"/>
  <c r="H2919" i="20"/>
  <c r="H2920" i="20"/>
  <c r="H2921" i="20"/>
  <c r="H2922" i="20"/>
  <c r="H2923" i="20"/>
  <c r="H2924" i="20"/>
  <c r="H2925" i="20"/>
  <c r="H2926" i="20"/>
  <c r="H2927" i="20"/>
  <c r="H2928" i="20"/>
  <c r="H2929" i="20"/>
  <c r="H2930" i="20"/>
  <c r="H2931" i="20"/>
  <c r="H2932" i="20"/>
  <c r="H2933" i="20"/>
  <c r="H2934" i="20"/>
  <c r="H2935" i="20"/>
  <c r="H2936" i="20"/>
  <c r="H2937" i="20"/>
  <c r="H2938" i="20"/>
  <c r="H2939" i="20"/>
  <c r="H2940" i="20"/>
  <c r="H2941" i="20"/>
  <c r="H2942" i="20"/>
  <c r="H2943" i="20"/>
  <c r="H2944" i="20"/>
  <c r="H2945" i="20"/>
  <c r="H2946" i="20"/>
  <c r="H2947" i="20"/>
  <c r="H2948" i="20"/>
  <c r="H2949" i="20"/>
  <c r="H2950" i="20"/>
  <c r="H2951" i="20"/>
  <c r="H2952" i="20"/>
  <c r="H2953" i="20"/>
  <c r="H2954" i="20"/>
  <c r="H2955" i="20"/>
  <c r="H2956" i="20"/>
  <c r="H2957" i="20"/>
  <c r="H2958" i="20"/>
  <c r="H2959" i="20"/>
  <c r="H2960" i="20"/>
  <c r="H2961" i="20"/>
  <c r="H2962" i="20"/>
  <c r="H2963" i="20"/>
  <c r="H2964" i="20"/>
  <c r="H2965" i="20"/>
  <c r="H2966" i="20"/>
  <c r="H2967" i="20"/>
  <c r="H2968" i="20"/>
  <c r="H2969" i="20"/>
  <c r="H2970" i="20"/>
  <c r="H2971" i="20"/>
  <c r="H2972" i="20"/>
  <c r="H2973" i="20"/>
  <c r="H2974" i="20"/>
  <c r="H2975" i="20"/>
  <c r="H2976" i="20"/>
  <c r="H2977" i="20"/>
  <c r="H2978" i="20"/>
  <c r="H2979" i="20"/>
  <c r="H2980" i="20"/>
  <c r="H2981" i="20"/>
  <c r="H2982" i="20"/>
  <c r="H2983" i="20"/>
  <c r="H2984" i="20"/>
  <c r="H2985" i="20"/>
  <c r="H2986" i="20"/>
  <c r="H2987" i="20"/>
  <c r="H2988" i="20"/>
  <c r="H2989" i="20"/>
  <c r="H2990" i="20"/>
  <c r="H2991" i="20"/>
  <c r="H2992" i="20"/>
  <c r="H2993" i="20"/>
  <c r="H2994" i="20"/>
  <c r="H2995" i="20"/>
  <c r="H2996" i="20"/>
  <c r="H2997" i="20"/>
  <c r="H2998" i="20"/>
  <c r="H2999" i="20"/>
  <c r="H3000" i="20"/>
  <c r="H7" i="20"/>
  <c r="H63" i="20" l="1"/>
  <c r="H20" i="20"/>
  <c r="H13" i="20"/>
  <c r="H837" i="20"/>
  <c r="H817" i="20"/>
  <c r="H804" i="20"/>
  <c r="H786" i="20"/>
  <c r="H769" i="20"/>
  <c r="H755" i="20"/>
  <c r="H738" i="20"/>
  <c r="H719" i="20"/>
  <c r="H706" i="20"/>
  <c r="H687" i="20"/>
  <c r="H672" i="20"/>
  <c r="H658" i="20"/>
  <c r="H399" i="20"/>
  <c r="H380" i="20"/>
  <c r="H360" i="20"/>
  <c r="H59" i="20"/>
  <c r="H51" i="20"/>
  <c r="H31" i="20"/>
  <c r="H33" i="20"/>
  <c r="H14" i="20"/>
  <c r="H328" i="20"/>
  <c r="H788" i="20"/>
  <c r="H750" i="20"/>
  <c r="H721" i="20"/>
  <c r="H683" i="20"/>
  <c r="H651" i="20"/>
  <c r="H570" i="20"/>
  <c r="H553" i="20"/>
  <c r="H535" i="20"/>
  <c r="H316" i="20"/>
  <c r="H522" i="20"/>
  <c r="H505" i="20"/>
  <c r="H499" i="20"/>
  <c r="H485" i="20"/>
  <c r="H466" i="20"/>
  <c r="H467" i="20"/>
  <c r="H454" i="20"/>
  <c r="H437" i="20"/>
  <c r="H440" i="20"/>
  <c r="H423" i="20"/>
  <c r="H311" i="20"/>
  <c r="H369" i="20"/>
  <c r="H285" i="20"/>
  <c r="H270" i="20"/>
  <c r="H310" i="20"/>
  <c r="H251" i="20"/>
  <c r="H236" i="20"/>
  <c r="H229" i="20"/>
  <c r="H213" i="20"/>
  <c r="H202" i="20"/>
  <c r="H189" i="20"/>
  <c r="H184" i="20"/>
  <c r="H165" i="20"/>
  <c r="H162" i="20"/>
  <c r="H153" i="20"/>
  <c r="H132" i="20"/>
  <c r="H304" i="20"/>
  <c r="H114" i="20"/>
  <c r="H99" i="20"/>
  <c r="H89" i="20"/>
  <c r="H87" i="20"/>
  <c r="H58" i="20"/>
  <c r="H27" i="20"/>
  <c r="A2" i="25"/>
  <c r="O6" i="29"/>
  <c r="O9" i="29" s="1"/>
  <c r="P6" i="29"/>
  <c r="P9" i="29" s="1"/>
  <c r="Q6" i="29"/>
  <c r="Q9" i="29" s="1"/>
  <c r="R6" i="29"/>
  <c r="R9" i="29" s="1"/>
  <c r="S6" i="29"/>
  <c r="S9" i="29" s="1"/>
  <c r="T6" i="29"/>
  <c r="T9" i="29" s="1"/>
  <c r="U6" i="29"/>
  <c r="U9" i="29" s="1"/>
  <c r="V6" i="29"/>
  <c r="V9" i="29" s="1"/>
  <c r="N6" i="29"/>
  <c r="N10" i="29" s="1"/>
  <c r="O5" i="29"/>
  <c r="O8" i="29" s="1"/>
  <c r="P5" i="29"/>
  <c r="P8" i="29" s="1"/>
  <c r="Q5" i="29"/>
  <c r="Q8" i="29" s="1"/>
  <c r="R5" i="29"/>
  <c r="R8" i="29" s="1"/>
  <c r="S5" i="29"/>
  <c r="S8" i="29" s="1"/>
  <c r="T5" i="29"/>
  <c r="T8" i="29" s="1"/>
  <c r="U5" i="29"/>
  <c r="U8" i="29" s="1"/>
  <c r="V5" i="29"/>
  <c r="V8" i="29" s="1"/>
  <c r="N5" i="29"/>
  <c r="N8" i="29" s="1"/>
  <c r="O38" i="29"/>
  <c r="P38" i="29"/>
  <c r="Q38" i="29"/>
  <c r="R38" i="29"/>
  <c r="S38" i="29"/>
  <c r="T38" i="29"/>
  <c r="U38" i="29"/>
  <c r="V38" i="29"/>
  <c r="N38" i="29"/>
  <c r="O39" i="29"/>
  <c r="P39" i="29"/>
  <c r="Q39" i="29"/>
  <c r="R39" i="29"/>
  <c r="S39" i="29"/>
  <c r="T39" i="29"/>
  <c r="U39" i="29"/>
  <c r="V39" i="29"/>
  <c r="N39" i="29"/>
  <c r="N34" i="29"/>
  <c r="O34" i="29"/>
  <c r="P34" i="29"/>
  <c r="Q34" i="29"/>
  <c r="R34" i="29"/>
  <c r="S34" i="29"/>
  <c r="T34" i="29"/>
  <c r="U34" i="29"/>
  <c r="V34" i="29"/>
  <c r="M8" i="29" l="1"/>
  <c r="N9" i="29"/>
  <c r="M9" i="29" s="1"/>
  <c r="U11" i="29"/>
  <c r="Q11" i="29"/>
  <c r="U10" i="29"/>
  <c r="Q10" i="29"/>
  <c r="N11" i="29"/>
  <c r="T11" i="29"/>
  <c r="P11" i="29"/>
  <c r="T10" i="29"/>
  <c r="P10" i="29"/>
  <c r="S11" i="29"/>
  <c r="O11" i="29"/>
  <c r="S10" i="29"/>
  <c r="O10" i="29"/>
  <c r="M10" i="29" s="1"/>
  <c r="V11" i="29"/>
  <c r="R11" i="29"/>
  <c r="V10" i="29"/>
  <c r="R10" i="29"/>
  <c r="D1" i="25"/>
  <c r="A1" i="20"/>
  <c r="N4" i="29"/>
  <c r="M11" i="29" l="1"/>
  <c r="I9" i="29"/>
  <c r="B3" i="29"/>
  <c r="N30" i="29" l="1"/>
  <c r="O30" i="29"/>
  <c r="P30" i="29"/>
  <c r="Q30" i="29"/>
  <c r="R30" i="29"/>
  <c r="S30" i="29"/>
  <c r="T30" i="29"/>
  <c r="U30" i="29"/>
  <c r="V30" i="29"/>
  <c r="O13" i="29" l="1"/>
  <c r="P13" i="29"/>
  <c r="Q13" i="29"/>
  <c r="R13" i="29"/>
  <c r="S13" i="29"/>
  <c r="T13" i="29"/>
  <c r="U13" i="29"/>
  <c r="V13" i="29"/>
  <c r="N13" i="29"/>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83" i="2"/>
  <c r="AV82" i="2"/>
  <c r="AV81" i="2"/>
  <c r="AV80" i="2"/>
  <c r="AV79" i="2"/>
  <c r="AV78" i="2"/>
  <c r="AV77" i="2"/>
  <c r="AV76" i="2"/>
  <c r="AV75" i="2"/>
  <c r="AV74" i="2"/>
  <c r="AV73" i="2"/>
  <c r="AV72" i="2"/>
  <c r="AV71" i="2"/>
  <c r="AV70" i="2"/>
  <c r="AV69" i="2"/>
  <c r="AV68" i="2"/>
  <c r="AV67" i="2"/>
  <c r="AV66" i="2"/>
  <c r="AV65" i="2"/>
  <c r="AV64" i="2"/>
  <c r="AV63" i="2"/>
  <c r="AV62" i="2"/>
  <c r="AV61" i="2"/>
  <c r="AV60" i="2"/>
  <c r="AV59" i="2"/>
  <c r="AV58" i="2"/>
  <c r="AV57" i="2"/>
  <c r="AV56" i="2"/>
  <c r="AV55" i="2"/>
  <c r="AV54" i="2"/>
  <c r="AV53" i="2"/>
  <c r="AV52" i="2"/>
  <c r="AV51" i="2"/>
  <c r="AV50" i="2"/>
  <c r="AV49" i="2"/>
  <c r="AV48" i="2"/>
  <c r="AV47" i="2"/>
  <c r="AV46" i="2"/>
  <c r="AV45" i="2"/>
  <c r="AV44" i="2"/>
  <c r="AV43" i="2"/>
  <c r="AV42" i="2"/>
  <c r="AV41" i="2"/>
  <c r="AV40" i="2"/>
  <c r="AV28" i="2"/>
  <c r="AV16" i="2"/>
  <c r="AX110" i="2"/>
  <c r="AX16" i="2" l="1"/>
  <c r="AX21" i="2"/>
  <c r="AX23" i="2"/>
  <c r="AX41" i="2"/>
  <c r="AX45" i="2"/>
  <c r="AX49" i="2"/>
  <c r="AX53" i="2"/>
  <c r="AX55" i="2"/>
  <c r="AX59" i="2"/>
  <c r="AX63" i="2"/>
  <c r="AX65" i="2"/>
  <c r="AX69" i="2"/>
  <c r="AX73" i="2"/>
  <c r="AX77" i="2"/>
  <c r="AX100" i="2"/>
  <c r="AX20" i="2"/>
  <c r="AX24" i="2"/>
  <c r="AX28" i="2"/>
  <c r="AX40" i="2"/>
  <c r="AX44" i="2"/>
  <c r="AX48" i="2"/>
  <c r="AX52" i="2"/>
  <c r="AX56" i="2"/>
  <c r="AX60" i="2"/>
  <c r="AX62" i="2"/>
  <c r="AX66" i="2"/>
  <c r="AX68" i="2"/>
  <c r="AX70" i="2"/>
  <c r="AX72" i="2"/>
  <c r="AX74" i="2"/>
  <c r="AX76" i="2"/>
  <c r="AX78" i="2"/>
  <c r="AX80" i="2"/>
  <c r="AX82" i="2"/>
  <c r="AX84" i="2"/>
  <c r="AX86" i="2"/>
  <c r="AX88" i="2"/>
  <c r="AX90" i="2"/>
  <c r="AX92" i="2"/>
  <c r="AX94" i="2"/>
  <c r="AX96" i="2"/>
  <c r="AX98" i="2"/>
  <c r="AX22" i="2"/>
  <c r="AX26" i="2"/>
  <c r="AX42" i="2"/>
  <c r="AX46" i="2"/>
  <c r="AX50" i="2"/>
  <c r="AX54" i="2"/>
  <c r="AX58" i="2"/>
  <c r="AX64" i="2"/>
  <c r="AX19" i="2"/>
  <c r="AX25" i="2"/>
  <c r="AX39" i="2"/>
  <c r="AX43" i="2"/>
  <c r="AX47" i="2"/>
  <c r="AX51" i="2"/>
  <c r="AX57" i="2"/>
  <c r="AX61" i="2"/>
  <c r="AX67" i="2"/>
  <c r="AX71" i="2"/>
  <c r="AX75" i="2"/>
  <c r="AX79" i="2"/>
  <c r="AX81" i="2"/>
  <c r="AX83" i="2"/>
  <c r="AX85" i="2"/>
  <c r="AX87" i="2"/>
  <c r="AX89" i="2"/>
  <c r="AX91" i="2"/>
  <c r="AX93" i="2"/>
  <c r="AX95" i="2"/>
  <c r="AX97" i="2"/>
  <c r="AX99" i="2"/>
  <c r="AX101" i="2"/>
  <c r="AX103" i="2"/>
  <c r="AX105" i="2"/>
  <c r="AX107" i="2"/>
  <c r="AX109" i="2"/>
  <c r="AX102" i="2"/>
  <c r="AX104" i="2"/>
  <c r="AX106" i="2"/>
  <c r="AX108" i="2"/>
  <c r="AV39" i="2" l="1"/>
  <c r="AV27" i="2" l="1"/>
  <c r="AV38" i="2"/>
  <c r="AV35" i="2"/>
  <c r="AV32" i="2"/>
  <c r="AV30" i="2"/>
  <c r="AV29" i="2"/>
  <c r="AV37" i="2"/>
  <c r="AV34" i="2"/>
  <c r="AV31" i="2"/>
  <c r="AV36" i="2"/>
  <c r="AV33" i="2"/>
  <c r="AV26" i="2"/>
  <c r="AV23" i="2"/>
  <c r="AV20" i="2"/>
  <c r="AV25" i="2"/>
  <c r="AV22" i="2"/>
  <c r="AV19" i="2"/>
  <c r="AV24" i="2"/>
  <c r="AV21" i="2"/>
  <c r="AV15" i="2"/>
  <c r="AV14" i="2"/>
  <c r="AV11" i="2"/>
  <c r="AV8" i="2"/>
  <c r="AV4" i="2"/>
  <c r="AV18" i="2"/>
  <c r="AV17" i="2"/>
  <c r="AV13" i="2"/>
  <c r="AV10" i="2"/>
  <c r="AV7" i="2"/>
  <c r="AV6" i="2"/>
  <c r="AV12" i="2"/>
  <c r="AV9" i="2"/>
  <c r="AV5" i="2"/>
  <c r="AV3" i="2"/>
  <c r="B2" i="2"/>
  <c r="O7" i="29" l="1"/>
  <c r="P7" i="29"/>
  <c r="Q7" i="29"/>
  <c r="R7" i="29"/>
  <c r="S7" i="29"/>
  <c r="T7" i="29"/>
  <c r="U7" i="29"/>
  <c r="V7" i="29"/>
  <c r="N7" i="29"/>
  <c r="O24" i="29" l="1"/>
  <c r="P24" i="29"/>
  <c r="Q24" i="29"/>
  <c r="R24" i="29"/>
  <c r="S24" i="29"/>
  <c r="T24" i="29"/>
  <c r="T28" i="29" s="1"/>
  <c r="U24" i="29"/>
  <c r="U28" i="29" s="1"/>
  <c r="V24" i="29"/>
  <c r="V28" i="29" s="1"/>
  <c r="N24" i="29"/>
  <c r="U17" i="29"/>
  <c r="V17" i="29"/>
  <c r="N17" i="29"/>
  <c r="O17" i="29"/>
  <c r="P17" i="29"/>
  <c r="Q17" i="29"/>
  <c r="R17" i="29"/>
  <c r="S17" i="29"/>
  <c r="T17" i="29"/>
  <c r="M17" i="29"/>
  <c r="V4" i="29"/>
  <c r="U4" i="29"/>
  <c r="T4" i="29"/>
  <c r="T32" i="29" l="1"/>
  <c r="V32" i="29"/>
  <c r="U32" i="29"/>
  <c r="T31" i="29"/>
  <c r="V31" i="29"/>
  <c r="U31" i="29"/>
  <c r="V26" i="29"/>
  <c r="U25" i="29"/>
  <c r="T26" i="29"/>
  <c r="T25" i="29"/>
  <c r="V27" i="29"/>
  <c r="U27" i="29"/>
  <c r="V25" i="29"/>
  <c r="U26" i="29"/>
  <c r="T27" i="29"/>
  <c r="D28" i="2" l="1"/>
  <c r="E28" i="2"/>
  <c r="F28" i="2"/>
  <c r="G28" i="2"/>
  <c r="H28" i="2"/>
  <c r="I28" i="2"/>
  <c r="J28" i="2"/>
  <c r="K28" i="2"/>
  <c r="C28" i="2"/>
  <c r="B8" i="2"/>
  <c r="B9" i="2"/>
  <c r="B10" i="2"/>
  <c r="B11" i="2"/>
  <c r="B12" i="2"/>
  <c r="B7" i="2"/>
  <c r="B6" i="2"/>
  <c r="B5" i="2"/>
  <c r="B48" i="2" l="1"/>
  <c r="B24" i="2"/>
  <c r="B36" i="2"/>
  <c r="B60" i="2"/>
  <c r="B59" i="2"/>
  <c r="B35" i="2"/>
  <c r="B47" i="2"/>
  <c r="B23" i="2"/>
  <c r="B22" i="2"/>
  <c r="B34" i="2"/>
  <c r="B46" i="2"/>
  <c r="B58" i="2"/>
  <c r="B57" i="2"/>
  <c r="B45" i="2"/>
  <c r="B33" i="2"/>
  <c r="J33" i="2" s="1"/>
  <c r="B21" i="2"/>
  <c r="B44" i="2"/>
  <c r="B56" i="2"/>
  <c r="B32" i="2"/>
  <c r="H32" i="2" s="1"/>
  <c r="B20" i="2"/>
  <c r="K20" i="2" s="1"/>
  <c r="B19" i="2"/>
  <c r="B55" i="2"/>
  <c r="B43" i="2"/>
  <c r="B31" i="2"/>
  <c r="B42" i="2"/>
  <c r="B18" i="2"/>
  <c r="B54" i="2"/>
  <c r="B30" i="2"/>
  <c r="J30" i="2" s="1"/>
  <c r="B53" i="2"/>
  <c r="B29" i="2"/>
  <c r="B17" i="2"/>
  <c r="B41" i="2"/>
  <c r="AC1" i="2"/>
  <c r="AO1" i="2"/>
  <c r="AQ1" i="2"/>
  <c r="AE1" i="2"/>
  <c r="AN1" i="2"/>
  <c r="AB1" i="2"/>
  <c r="AR1" i="2"/>
  <c r="AF1" i="2"/>
  <c r="AF2" i="2" s="1"/>
  <c r="AT1" i="2"/>
  <c r="AH1" i="2"/>
  <c r="AD1" i="2"/>
  <c r="AD2" i="2" s="1"/>
  <c r="AP1" i="2"/>
  <c r="F5" i="2"/>
  <c r="A5" i="2"/>
  <c r="AA1" i="2"/>
  <c r="AM1" i="2"/>
  <c r="AG1" i="2"/>
  <c r="AG2" i="2" s="1"/>
  <c r="AS1" i="2"/>
  <c r="J6" i="2"/>
  <c r="G6" i="2"/>
  <c r="D6" i="2"/>
  <c r="C6" i="2"/>
  <c r="K6" i="2"/>
  <c r="F6" i="2"/>
  <c r="I6" i="2"/>
  <c r="H6" i="2"/>
  <c r="E6" i="2"/>
  <c r="A6" i="2"/>
  <c r="H10" i="2"/>
  <c r="E10" i="2"/>
  <c r="C10" i="2"/>
  <c r="I10" i="2"/>
  <c r="G10" i="2"/>
  <c r="D10" i="2"/>
  <c r="K10" i="2"/>
  <c r="J10" i="2"/>
  <c r="F10" i="2"/>
  <c r="A10" i="2"/>
  <c r="K36" i="2"/>
  <c r="J36" i="2"/>
  <c r="I36" i="2"/>
  <c r="H36" i="2"/>
  <c r="G36" i="2"/>
  <c r="F36" i="2"/>
  <c r="A36" i="2"/>
  <c r="K32" i="2"/>
  <c r="I32" i="2"/>
  <c r="G32" i="2"/>
  <c r="F32" i="2"/>
  <c r="A32" i="2"/>
  <c r="A48" i="2"/>
  <c r="A44" i="2"/>
  <c r="K5" i="2"/>
  <c r="J5" i="2"/>
  <c r="I5" i="2"/>
  <c r="H5" i="2"/>
  <c r="G5" i="2"/>
  <c r="E5" i="2"/>
  <c r="D5" i="2"/>
  <c r="C5" i="2"/>
  <c r="K11" i="2"/>
  <c r="J11" i="2"/>
  <c r="I11" i="2"/>
  <c r="H11" i="2"/>
  <c r="G11" i="2"/>
  <c r="F11" i="2"/>
  <c r="E11" i="2"/>
  <c r="D11" i="2"/>
  <c r="C11" i="2"/>
  <c r="A11" i="2"/>
  <c r="K33" i="2"/>
  <c r="I33" i="2"/>
  <c r="G33" i="2"/>
  <c r="F33" i="2"/>
  <c r="A33" i="2"/>
  <c r="A41" i="2"/>
  <c r="A45" i="2"/>
  <c r="K29" i="2"/>
  <c r="J29" i="2"/>
  <c r="I29" i="2"/>
  <c r="H29" i="2"/>
  <c r="G29" i="2"/>
  <c r="F29" i="2"/>
  <c r="A29" i="2"/>
  <c r="H19" i="2"/>
  <c r="K7" i="2"/>
  <c r="J7" i="2"/>
  <c r="I7" i="2"/>
  <c r="H7" i="2"/>
  <c r="G7" i="2"/>
  <c r="F7" i="2"/>
  <c r="E7" i="2"/>
  <c r="D7" i="2"/>
  <c r="C7" i="2"/>
  <c r="A7" i="2"/>
  <c r="K21" i="2"/>
  <c r="K9" i="2"/>
  <c r="J9" i="2"/>
  <c r="I9" i="2"/>
  <c r="H9" i="2"/>
  <c r="G9" i="2"/>
  <c r="F9" i="2"/>
  <c r="E9" i="2"/>
  <c r="D9" i="2"/>
  <c r="C9" i="2"/>
  <c r="A9" i="2"/>
  <c r="K35" i="2"/>
  <c r="J35" i="2"/>
  <c r="I35" i="2"/>
  <c r="H35" i="2"/>
  <c r="G35" i="2"/>
  <c r="F35" i="2"/>
  <c r="A35" i="2"/>
  <c r="K31" i="2"/>
  <c r="J31" i="2"/>
  <c r="I31" i="2"/>
  <c r="H31" i="2"/>
  <c r="G31" i="2"/>
  <c r="A31" i="2"/>
  <c r="A47" i="2"/>
  <c r="A43" i="2"/>
  <c r="C12" i="2"/>
  <c r="K12" i="2"/>
  <c r="J12" i="2"/>
  <c r="I12" i="2"/>
  <c r="H12" i="2"/>
  <c r="G12" i="2"/>
  <c r="F12" i="2"/>
  <c r="E12" i="2"/>
  <c r="D12" i="2"/>
  <c r="A12" i="2"/>
  <c r="H20" i="2"/>
  <c r="K8" i="2"/>
  <c r="J8" i="2"/>
  <c r="I8" i="2"/>
  <c r="H8" i="2"/>
  <c r="G8" i="2"/>
  <c r="F8" i="2"/>
  <c r="E8" i="2"/>
  <c r="D8" i="2"/>
  <c r="C8" i="2"/>
  <c r="A8" i="2"/>
  <c r="F34" i="2"/>
  <c r="J34" i="2"/>
  <c r="I34" i="2"/>
  <c r="G34" i="2"/>
  <c r="K34" i="2"/>
  <c r="H34" i="2"/>
  <c r="A34" i="2"/>
  <c r="K30" i="2"/>
  <c r="H30" i="2"/>
  <c r="G30" i="2"/>
  <c r="A30" i="2"/>
  <c r="A46" i="2"/>
  <c r="A42" i="2"/>
  <c r="K18" i="2"/>
  <c r="J18" i="2"/>
  <c r="I18" i="2"/>
  <c r="H18" i="2"/>
  <c r="G18" i="2"/>
  <c r="F18" i="2"/>
  <c r="A18" i="2"/>
  <c r="I20" i="2"/>
  <c r="G20" i="2"/>
  <c r="K19" i="2"/>
  <c r="J19" i="2"/>
  <c r="I19" i="2"/>
  <c r="G19" i="2"/>
  <c r="K17" i="2"/>
  <c r="J17" i="2"/>
  <c r="I17" i="2"/>
  <c r="H17" i="2"/>
  <c r="G17" i="2"/>
  <c r="F17" i="2"/>
  <c r="A17" i="2"/>
  <c r="J21" i="2"/>
  <c r="I21" i="2"/>
  <c r="H21" i="2"/>
  <c r="F21" i="2"/>
  <c r="A21" i="2"/>
  <c r="AE2" i="2" l="1"/>
  <c r="AE16" i="2"/>
  <c r="AA2" i="2"/>
  <c r="AA16" i="2"/>
  <c r="AB2" i="2"/>
  <c r="AB16" i="2"/>
  <c r="AC2" i="2"/>
  <c r="AC16" i="2"/>
  <c r="H60" i="2"/>
  <c r="E60" i="2"/>
  <c r="C60" i="2"/>
  <c r="D60" i="2"/>
  <c r="I60" i="2"/>
  <c r="G60" i="2"/>
  <c r="J60" i="2"/>
  <c r="F60" i="2"/>
  <c r="K60" i="2"/>
  <c r="A60" i="2"/>
  <c r="I48" i="2"/>
  <c r="D48" i="2"/>
  <c r="J48" i="2"/>
  <c r="H48" i="2"/>
  <c r="K48" i="2"/>
  <c r="E48" i="2"/>
  <c r="F48" i="2"/>
  <c r="G48" i="2"/>
  <c r="C48" i="2"/>
  <c r="K47" i="2"/>
  <c r="D47" i="2"/>
  <c r="G47" i="2"/>
  <c r="E47" i="2"/>
  <c r="F47" i="2"/>
  <c r="I47" i="2"/>
  <c r="J47" i="2"/>
  <c r="H47" i="2"/>
  <c r="C47" i="2"/>
  <c r="K59" i="2"/>
  <c r="E59" i="2"/>
  <c r="F59" i="2"/>
  <c r="C59" i="2"/>
  <c r="I59" i="2"/>
  <c r="J59" i="2"/>
  <c r="H59" i="2"/>
  <c r="D59" i="2"/>
  <c r="G59" i="2"/>
  <c r="A59" i="2"/>
  <c r="C46" i="2"/>
  <c r="J46" i="2"/>
  <c r="E46" i="2"/>
  <c r="F46" i="2"/>
  <c r="D46" i="2"/>
  <c r="K46" i="2"/>
  <c r="I46" i="2"/>
  <c r="H46" i="2"/>
  <c r="G46" i="2"/>
  <c r="J58" i="2"/>
  <c r="E58" i="2"/>
  <c r="H58" i="2"/>
  <c r="I58" i="2"/>
  <c r="D58" i="2"/>
  <c r="C58" i="2"/>
  <c r="K58" i="2"/>
  <c r="G58" i="2"/>
  <c r="F58" i="2"/>
  <c r="A58" i="2"/>
  <c r="H33" i="2"/>
  <c r="K45" i="2"/>
  <c r="H45" i="2"/>
  <c r="C45" i="2"/>
  <c r="G45" i="2"/>
  <c r="D45" i="2"/>
  <c r="E45" i="2"/>
  <c r="F45" i="2"/>
  <c r="I45" i="2"/>
  <c r="J45" i="2"/>
  <c r="J57" i="2"/>
  <c r="H57" i="2"/>
  <c r="C57" i="2"/>
  <c r="F57" i="2"/>
  <c r="G57" i="2"/>
  <c r="D57" i="2"/>
  <c r="I57" i="2"/>
  <c r="K57" i="2"/>
  <c r="E57" i="2"/>
  <c r="A57" i="2"/>
  <c r="J32" i="2"/>
  <c r="I56" i="2"/>
  <c r="H56" i="2"/>
  <c r="C56" i="2"/>
  <c r="E56" i="2"/>
  <c r="F56" i="2"/>
  <c r="J56" i="2"/>
  <c r="D56" i="2"/>
  <c r="K56" i="2"/>
  <c r="G56" i="2"/>
  <c r="A56" i="2"/>
  <c r="F44" i="2"/>
  <c r="G44" i="2"/>
  <c r="E44" i="2"/>
  <c r="H44" i="2"/>
  <c r="C44" i="2"/>
  <c r="D44" i="2"/>
  <c r="J44" i="2"/>
  <c r="I44" i="2"/>
  <c r="K44" i="2"/>
  <c r="K43" i="2"/>
  <c r="E43" i="2"/>
  <c r="H43" i="2"/>
  <c r="C43" i="2"/>
  <c r="I43" i="2"/>
  <c r="G43" i="2"/>
  <c r="D43" i="2"/>
  <c r="F43" i="2"/>
  <c r="J43" i="2"/>
  <c r="K55" i="2"/>
  <c r="H55" i="2"/>
  <c r="I55" i="2"/>
  <c r="E55" i="2"/>
  <c r="F55" i="2"/>
  <c r="D55" i="2"/>
  <c r="J55" i="2"/>
  <c r="C55" i="2"/>
  <c r="G55" i="2"/>
  <c r="A55" i="2"/>
  <c r="J54" i="2"/>
  <c r="D54" i="2"/>
  <c r="K54" i="2"/>
  <c r="C54" i="2"/>
  <c r="H54" i="2"/>
  <c r="G54" i="2"/>
  <c r="I54" i="2"/>
  <c r="E54" i="2"/>
  <c r="F54" i="2"/>
  <c r="A54" i="2"/>
  <c r="I30" i="2"/>
  <c r="F30" i="2"/>
  <c r="J42" i="2"/>
  <c r="D42" i="2"/>
  <c r="E42" i="2"/>
  <c r="F42" i="2"/>
  <c r="C42" i="2"/>
  <c r="H42" i="2"/>
  <c r="G42" i="2"/>
  <c r="K42" i="2"/>
  <c r="I42" i="2"/>
  <c r="F41" i="2"/>
  <c r="H41" i="2"/>
  <c r="K41" i="2"/>
  <c r="E41" i="2"/>
  <c r="G41" i="2"/>
  <c r="D41" i="2"/>
  <c r="I41" i="2"/>
  <c r="J41" i="2"/>
  <c r="C41" i="2"/>
  <c r="F53" i="2"/>
  <c r="D53" i="2"/>
  <c r="I53" i="2"/>
  <c r="J53" i="2"/>
  <c r="K53" i="2"/>
  <c r="H53" i="2"/>
  <c r="C53" i="2"/>
  <c r="E53" i="2"/>
  <c r="G53" i="2"/>
  <c r="A53" i="2"/>
  <c r="AM110" i="2"/>
  <c r="AM109" i="2"/>
  <c r="AM108" i="2"/>
  <c r="AM107" i="2"/>
  <c r="AM106" i="2"/>
  <c r="AM105" i="2"/>
  <c r="AM104" i="2"/>
  <c r="AM103" i="2"/>
  <c r="AM102" i="2"/>
  <c r="AM101" i="2"/>
  <c r="AM96" i="2"/>
  <c r="AM92" i="2"/>
  <c r="AM88" i="2"/>
  <c r="AM84" i="2"/>
  <c r="AM80" i="2"/>
  <c r="AM76" i="2"/>
  <c r="AM72" i="2"/>
  <c r="AM68" i="2"/>
  <c r="AM98" i="2"/>
  <c r="AM94" i="2"/>
  <c r="AM90" i="2"/>
  <c r="AM86" i="2"/>
  <c r="AM82" i="2"/>
  <c r="AM97" i="2"/>
  <c r="AM93" i="2"/>
  <c r="AM89" i="2"/>
  <c r="AM85" i="2"/>
  <c r="AM81" i="2"/>
  <c r="AM77" i="2"/>
  <c r="AM95" i="2"/>
  <c r="AM100" i="2"/>
  <c r="AM87" i="2"/>
  <c r="AM63" i="2"/>
  <c r="AM59" i="2"/>
  <c r="AM55" i="2"/>
  <c r="AM51" i="2"/>
  <c r="AM47" i="2"/>
  <c r="AM43" i="2"/>
  <c r="AM39" i="2"/>
  <c r="AM75" i="2"/>
  <c r="AM83" i="2"/>
  <c r="AM79" i="2"/>
  <c r="AM78" i="2"/>
  <c r="AM65" i="2"/>
  <c r="AM62" i="2"/>
  <c r="AM52" i="2"/>
  <c r="AM49" i="2"/>
  <c r="AM46" i="2"/>
  <c r="AM28" i="2"/>
  <c r="AM24" i="2"/>
  <c r="AM91" i="2"/>
  <c r="AM99" i="2"/>
  <c r="AM60" i="2"/>
  <c r="AM57" i="2"/>
  <c r="AM54" i="2"/>
  <c r="AM44" i="2"/>
  <c r="AM41" i="2"/>
  <c r="AM26" i="2"/>
  <c r="AM22" i="2"/>
  <c r="AM64" i="2"/>
  <c r="AM61" i="2"/>
  <c r="AM58" i="2"/>
  <c r="AM29" i="2"/>
  <c r="AM21" i="2"/>
  <c r="AM16" i="2"/>
  <c r="AM19" i="2"/>
  <c r="AM48" i="2"/>
  <c r="AM45" i="2"/>
  <c r="AM42" i="2"/>
  <c r="AM25" i="2"/>
  <c r="AM20" i="2"/>
  <c r="AM74" i="2"/>
  <c r="AM70" i="2"/>
  <c r="AM66" i="2"/>
  <c r="AM40" i="2"/>
  <c r="AM27" i="2"/>
  <c r="AM73" i="2"/>
  <c r="AM71" i="2"/>
  <c r="AM69" i="2"/>
  <c r="AM67" i="2"/>
  <c r="AM56" i="2"/>
  <c r="AM53" i="2"/>
  <c r="AM50" i="2"/>
  <c r="AM23" i="2"/>
  <c r="AP97" i="2"/>
  <c r="AP93" i="2"/>
  <c r="AP89" i="2"/>
  <c r="AP85" i="2"/>
  <c r="AP81" i="2"/>
  <c r="AP77" i="2"/>
  <c r="AP71" i="2"/>
  <c r="AP67" i="2"/>
  <c r="AP110" i="2"/>
  <c r="AP109" i="2"/>
  <c r="AP108" i="2"/>
  <c r="AP107" i="2"/>
  <c r="AP106" i="2"/>
  <c r="AP105" i="2"/>
  <c r="AP100" i="2"/>
  <c r="AP99" i="2"/>
  <c r="AP95" i="2"/>
  <c r="AP91" i="2"/>
  <c r="AP87" i="2"/>
  <c r="AP83" i="2"/>
  <c r="AP98" i="2"/>
  <c r="AP94" i="2"/>
  <c r="AP90" i="2"/>
  <c r="AP86" i="2"/>
  <c r="AP82" i="2"/>
  <c r="AP78" i="2"/>
  <c r="AP104" i="2"/>
  <c r="AP102" i="2"/>
  <c r="AP96" i="2"/>
  <c r="AP80" i="2"/>
  <c r="AP79" i="2"/>
  <c r="AP103" i="2"/>
  <c r="AP101" i="2"/>
  <c r="AP88" i="2"/>
  <c r="AP75" i="2"/>
  <c r="AP73" i="2"/>
  <c r="AP70" i="2"/>
  <c r="AP62" i="2"/>
  <c r="AP58" i="2"/>
  <c r="AP54" i="2"/>
  <c r="AP50" i="2"/>
  <c r="AP46" i="2"/>
  <c r="AP42" i="2"/>
  <c r="AP76" i="2"/>
  <c r="AP63" i="2"/>
  <c r="AP60" i="2"/>
  <c r="AP57" i="2"/>
  <c r="AP47" i="2"/>
  <c r="AP44" i="2"/>
  <c r="AP41" i="2"/>
  <c r="AP27" i="2"/>
  <c r="AP84" i="2"/>
  <c r="AP92" i="2"/>
  <c r="AP74" i="2"/>
  <c r="AP65" i="2"/>
  <c r="AP55" i="2"/>
  <c r="AP52" i="2"/>
  <c r="AP49" i="2"/>
  <c r="AP39" i="2"/>
  <c r="AP69" i="2"/>
  <c r="AP59" i="2"/>
  <c r="AP56" i="2"/>
  <c r="AP53" i="2"/>
  <c r="AP15" i="2"/>
  <c r="AP48" i="2"/>
  <c r="AP16" i="2"/>
  <c r="AP72" i="2"/>
  <c r="AP68" i="2"/>
  <c r="AP66" i="2"/>
  <c r="AP43" i="2"/>
  <c r="AP40" i="2"/>
  <c r="AP28" i="2"/>
  <c r="AP64" i="2"/>
  <c r="AP61" i="2"/>
  <c r="AP51" i="2"/>
  <c r="AP45" i="2"/>
  <c r="AR100" i="2"/>
  <c r="AR99" i="2"/>
  <c r="AR95" i="2"/>
  <c r="AR91" i="2"/>
  <c r="AR87" i="2"/>
  <c r="AR83" i="2"/>
  <c r="AR79" i="2"/>
  <c r="AR75" i="2"/>
  <c r="AR73" i="2"/>
  <c r="AR69" i="2"/>
  <c r="AR97" i="2"/>
  <c r="AR93" i="2"/>
  <c r="AR89" i="2"/>
  <c r="AR85" i="2"/>
  <c r="AR81" i="2"/>
  <c r="AR110" i="2"/>
  <c r="AR109" i="2"/>
  <c r="AR108" i="2"/>
  <c r="AR107" i="2"/>
  <c r="AR106" i="2"/>
  <c r="AR105" i="2"/>
  <c r="AR104" i="2"/>
  <c r="AR103" i="2"/>
  <c r="AR102" i="2"/>
  <c r="AR101" i="2"/>
  <c r="AR96" i="2"/>
  <c r="AR92" i="2"/>
  <c r="AR88" i="2"/>
  <c r="AR84" i="2"/>
  <c r="AR80" i="2"/>
  <c r="AR76" i="2"/>
  <c r="AR98" i="2"/>
  <c r="AR82" i="2"/>
  <c r="AR78" i="2"/>
  <c r="AR90" i="2"/>
  <c r="AR72" i="2"/>
  <c r="AR64" i="2"/>
  <c r="AR60" i="2"/>
  <c r="AR56" i="2"/>
  <c r="AR52" i="2"/>
  <c r="AR48" i="2"/>
  <c r="AR44" i="2"/>
  <c r="AR40" i="2"/>
  <c r="AR86" i="2"/>
  <c r="AR77" i="2"/>
  <c r="AR94" i="2"/>
  <c r="AR74" i="2"/>
  <c r="AR71" i="2"/>
  <c r="AR70" i="2"/>
  <c r="AR68" i="2"/>
  <c r="AR67" i="2"/>
  <c r="AR66" i="2"/>
  <c r="AR65" i="2"/>
  <c r="AR62" i="2"/>
  <c r="AR59" i="2"/>
  <c r="AR49" i="2"/>
  <c r="AR46" i="2"/>
  <c r="AR43" i="2"/>
  <c r="AR57" i="2"/>
  <c r="AR54" i="2"/>
  <c r="AR51" i="2"/>
  <c r="AR41" i="2"/>
  <c r="AR27" i="2"/>
  <c r="AR45" i="2"/>
  <c r="AR42" i="2"/>
  <c r="AR39" i="2"/>
  <c r="AR61" i="2"/>
  <c r="AR58" i="2"/>
  <c r="AR55" i="2"/>
  <c r="AR15" i="2"/>
  <c r="AR28" i="2"/>
  <c r="AR53" i="2"/>
  <c r="AR50" i="2"/>
  <c r="AR47" i="2"/>
  <c r="AR16" i="2"/>
  <c r="AR63" i="2"/>
  <c r="AQ110" i="2"/>
  <c r="AQ109" i="2"/>
  <c r="AQ108" i="2"/>
  <c r="AQ107" i="2"/>
  <c r="AQ106" i="2"/>
  <c r="AQ105" i="2"/>
  <c r="AQ104" i="2"/>
  <c r="AQ103" i="2"/>
  <c r="AQ102" i="2"/>
  <c r="AQ101" i="2"/>
  <c r="AQ96" i="2"/>
  <c r="AQ92" i="2"/>
  <c r="AQ88" i="2"/>
  <c r="AQ84" i="2"/>
  <c r="AQ80" i="2"/>
  <c r="AQ76" i="2"/>
  <c r="AQ72" i="2"/>
  <c r="AQ68" i="2"/>
  <c r="AQ98" i="2"/>
  <c r="AQ94" i="2"/>
  <c r="AQ90" i="2"/>
  <c r="AQ86" i="2"/>
  <c r="AQ82" i="2"/>
  <c r="AQ97" i="2"/>
  <c r="AQ93" i="2"/>
  <c r="AQ89" i="2"/>
  <c r="AQ85" i="2"/>
  <c r="AQ81" i="2"/>
  <c r="AQ77" i="2"/>
  <c r="AQ99" i="2"/>
  <c r="AQ83" i="2"/>
  <c r="AQ91" i="2"/>
  <c r="AQ69" i="2"/>
  <c r="AQ66" i="2"/>
  <c r="AQ63" i="2"/>
  <c r="AQ59" i="2"/>
  <c r="AQ55" i="2"/>
  <c r="AQ51" i="2"/>
  <c r="AQ47" i="2"/>
  <c r="AQ43" i="2"/>
  <c r="AQ39" i="2"/>
  <c r="AQ79" i="2"/>
  <c r="AQ78" i="2"/>
  <c r="AQ100" i="2"/>
  <c r="AQ87" i="2"/>
  <c r="AQ56" i="2"/>
  <c r="AQ53" i="2"/>
  <c r="AQ50" i="2"/>
  <c r="AQ40" i="2"/>
  <c r="AQ28" i="2"/>
  <c r="AQ95" i="2"/>
  <c r="AQ75" i="2"/>
  <c r="AQ64" i="2"/>
  <c r="AQ61" i="2"/>
  <c r="AQ58" i="2"/>
  <c r="AQ48" i="2"/>
  <c r="AQ45" i="2"/>
  <c r="AQ42" i="2"/>
  <c r="AQ73" i="2"/>
  <c r="AQ71" i="2"/>
  <c r="AQ67" i="2"/>
  <c r="AQ65" i="2"/>
  <c r="AQ62" i="2"/>
  <c r="AQ16" i="2"/>
  <c r="AQ74" i="2"/>
  <c r="AQ70" i="2"/>
  <c r="AQ52" i="2"/>
  <c r="AQ49" i="2"/>
  <c r="AQ46" i="2"/>
  <c r="AQ44" i="2"/>
  <c r="AQ41" i="2"/>
  <c r="AQ15" i="2"/>
  <c r="AQ60" i="2"/>
  <c r="AQ57" i="2"/>
  <c r="AQ54" i="2"/>
  <c r="AQ27" i="2"/>
  <c r="AS98" i="2"/>
  <c r="AS94" i="2"/>
  <c r="AS90" i="2"/>
  <c r="AS86" i="2"/>
  <c r="AS82" i="2"/>
  <c r="AS78" i="2"/>
  <c r="AS74" i="2"/>
  <c r="AS70" i="2"/>
  <c r="AS66" i="2"/>
  <c r="AS110" i="2"/>
  <c r="AS109" i="2"/>
  <c r="AS108" i="2"/>
  <c r="AS107" i="2"/>
  <c r="AS106" i="2"/>
  <c r="AS105" i="2"/>
  <c r="AS104" i="2"/>
  <c r="AS103" i="2"/>
  <c r="AS102" i="2"/>
  <c r="AS101" i="2"/>
  <c r="AS96" i="2"/>
  <c r="AS92" i="2"/>
  <c r="AS88" i="2"/>
  <c r="AS84" i="2"/>
  <c r="AS80" i="2"/>
  <c r="AS100" i="2"/>
  <c r="AS99" i="2"/>
  <c r="AS95" i="2"/>
  <c r="AS91" i="2"/>
  <c r="AS87" i="2"/>
  <c r="AS83" i="2"/>
  <c r="AS79" i="2"/>
  <c r="AS75" i="2"/>
  <c r="AS97" i="2"/>
  <c r="AS81" i="2"/>
  <c r="AS76" i="2"/>
  <c r="AS89" i="2"/>
  <c r="AS77" i="2"/>
  <c r="AS71" i="2"/>
  <c r="AS68" i="2"/>
  <c r="AS65" i="2"/>
  <c r="AS61" i="2"/>
  <c r="AS57" i="2"/>
  <c r="AS53" i="2"/>
  <c r="AS49" i="2"/>
  <c r="AS45" i="2"/>
  <c r="AS41" i="2"/>
  <c r="AS93" i="2"/>
  <c r="AS73" i="2"/>
  <c r="AS72" i="2"/>
  <c r="AS69" i="2"/>
  <c r="AS58" i="2"/>
  <c r="AS55" i="2"/>
  <c r="AS52" i="2"/>
  <c r="AS42" i="2"/>
  <c r="AS39" i="2"/>
  <c r="AS85" i="2"/>
  <c r="AS63" i="2"/>
  <c r="AS60" i="2"/>
  <c r="AS50" i="2"/>
  <c r="AS47" i="2"/>
  <c r="AS44" i="2"/>
  <c r="AS28" i="2"/>
  <c r="AS54" i="2"/>
  <c r="AS51" i="2"/>
  <c r="AS48" i="2"/>
  <c r="AS27" i="2"/>
  <c r="AS40" i="2"/>
  <c r="AS64" i="2"/>
  <c r="AS16" i="2"/>
  <c r="AS67" i="2"/>
  <c r="AS62" i="2"/>
  <c r="AS59" i="2"/>
  <c r="AS56" i="2"/>
  <c r="AS46" i="2"/>
  <c r="AS43" i="2"/>
  <c r="AS15" i="2"/>
  <c r="AO98" i="2"/>
  <c r="AO94" i="2"/>
  <c r="AO90" i="2"/>
  <c r="AO86" i="2"/>
  <c r="AO82" i="2"/>
  <c r="AO78" i="2"/>
  <c r="AO74" i="2"/>
  <c r="AO70" i="2"/>
  <c r="AO66" i="2"/>
  <c r="AO110" i="2"/>
  <c r="AO109" i="2"/>
  <c r="AO108" i="2"/>
  <c r="AO107" i="2"/>
  <c r="AO106" i="2"/>
  <c r="AO105" i="2"/>
  <c r="AO104" i="2"/>
  <c r="AO103" i="2"/>
  <c r="AO102" i="2"/>
  <c r="AO101" i="2"/>
  <c r="AO96" i="2"/>
  <c r="AO92" i="2"/>
  <c r="AO88" i="2"/>
  <c r="AO84" i="2"/>
  <c r="AO80" i="2"/>
  <c r="AO100" i="2"/>
  <c r="AO99" i="2"/>
  <c r="AO95" i="2"/>
  <c r="AO91" i="2"/>
  <c r="AO87" i="2"/>
  <c r="AO83" i="2"/>
  <c r="AO79" i="2"/>
  <c r="AO75" i="2"/>
  <c r="AO93" i="2"/>
  <c r="AO77" i="2"/>
  <c r="AO85" i="2"/>
  <c r="AO76" i="2"/>
  <c r="AO67" i="2"/>
  <c r="AO65" i="2"/>
  <c r="AO61" i="2"/>
  <c r="AO57" i="2"/>
  <c r="AO53" i="2"/>
  <c r="AO49" i="2"/>
  <c r="AO45" i="2"/>
  <c r="AO41" i="2"/>
  <c r="AO89" i="2"/>
  <c r="AO97" i="2"/>
  <c r="AO64" i="2"/>
  <c r="AO54" i="2"/>
  <c r="AO51" i="2"/>
  <c r="AO48" i="2"/>
  <c r="AO81" i="2"/>
  <c r="AO73" i="2"/>
  <c r="AO72" i="2"/>
  <c r="AO71" i="2"/>
  <c r="AO69" i="2"/>
  <c r="AO68" i="2"/>
  <c r="AO62" i="2"/>
  <c r="AO59" i="2"/>
  <c r="AO56" i="2"/>
  <c r="AO46" i="2"/>
  <c r="AO43" i="2"/>
  <c r="AO40" i="2"/>
  <c r="AO28" i="2"/>
  <c r="AO50" i="2"/>
  <c r="AO47" i="2"/>
  <c r="AO44" i="2"/>
  <c r="AO63" i="2"/>
  <c r="AO60" i="2"/>
  <c r="AO27" i="2"/>
  <c r="AO16" i="2"/>
  <c r="AO58" i="2"/>
  <c r="AO55" i="2"/>
  <c r="AO52" i="2"/>
  <c r="AO42" i="2"/>
  <c r="AN100" i="2"/>
  <c r="AN99" i="2"/>
  <c r="AN95" i="2"/>
  <c r="AN91" i="2"/>
  <c r="AN87" i="2"/>
  <c r="AN83" i="2"/>
  <c r="AN79" i="2"/>
  <c r="AN75" i="2"/>
  <c r="AN73" i="2"/>
  <c r="AN69" i="2"/>
  <c r="AN97" i="2"/>
  <c r="AN93" i="2"/>
  <c r="AN89" i="2"/>
  <c r="AN85" i="2"/>
  <c r="AN81" i="2"/>
  <c r="AN110" i="2"/>
  <c r="AN109" i="2"/>
  <c r="AN108" i="2"/>
  <c r="AN107" i="2"/>
  <c r="AN106" i="2"/>
  <c r="AN105" i="2"/>
  <c r="AN104" i="2"/>
  <c r="AN103" i="2"/>
  <c r="AN102" i="2"/>
  <c r="AN101" i="2"/>
  <c r="AN96" i="2"/>
  <c r="AN92" i="2"/>
  <c r="AN88" i="2"/>
  <c r="AN84" i="2"/>
  <c r="AN80" i="2"/>
  <c r="AN76" i="2"/>
  <c r="AN94" i="2"/>
  <c r="AN86" i="2"/>
  <c r="AN78" i="2"/>
  <c r="AN74" i="2"/>
  <c r="AN71" i="2"/>
  <c r="AN68" i="2"/>
  <c r="AN64" i="2"/>
  <c r="AN60" i="2"/>
  <c r="AN56" i="2"/>
  <c r="AN52" i="2"/>
  <c r="AN48" i="2"/>
  <c r="AN44" i="2"/>
  <c r="AN40" i="2"/>
  <c r="AN82" i="2"/>
  <c r="AN90" i="2"/>
  <c r="AN77" i="2"/>
  <c r="AN61" i="2"/>
  <c r="AN58" i="2"/>
  <c r="AN55" i="2"/>
  <c r="AN45" i="2"/>
  <c r="AN42" i="2"/>
  <c r="AN39" i="2"/>
  <c r="AN98" i="2"/>
  <c r="AN70" i="2"/>
  <c r="AN67" i="2"/>
  <c r="AN66" i="2"/>
  <c r="AN63" i="2"/>
  <c r="AN53" i="2"/>
  <c r="AN50" i="2"/>
  <c r="AN47" i="2"/>
  <c r="AN41" i="2"/>
  <c r="AN57" i="2"/>
  <c r="AN54" i="2"/>
  <c r="AN51" i="2"/>
  <c r="AN72" i="2"/>
  <c r="AN49" i="2"/>
  <c r="AN46" i="2"/>
  <c r="AN43" i="2"/>
  <c r="AN28" i="2"/>
  <c r="AN16" i="2"/>
  <c r="AN65" i="2"/>
  <c r="AN62" i="2"/>
  <c r="AN59" i="2"/>
  <c r="AT107" i="2"/>
  <c r="AT103" i="2"/>
  <c r="AT100" i="2"/>
  <c r="AT56" i="2"/>
  <c r="AT54" i="2"/>
  <c r="AT52" i="2"/>
  <c r="AT50" i="2"/>
  <c r="AT48" i="2"/>
  <c r="AT45" i="2"/>
  <c r="AT43" i="2"/>
  <c r="AT41" i="2"/>
  <c r="AT39" i="2"/>
  <c r="AT28" i="2"/>
  <c r="AT110" i="2"/>
  <c r="AT106" i="2"/>
  <c r="AT102" i="2"/>
  <c r="AT99" i="2"/>
  <c r="AT97" i="2"/>
  <c r="AT95" i="2"/>
  <c r="AT93" i="2"/>
  <c r="AT91" i="2"/>
  <c r="AT89" i="2"/>
  <c r="AT87" i="2"/>
  <c r="AT85" i="2"/>
  <c r="AT83" i="2"/>
  <c r="AT81" i="2"/>
  <c r="AT79" i="2"/>
  <c r="AT77" i="2"/>
  <c r="AT75" i="2"/>
  <c r="AT16" i="2"/>
  <c r="AT15" i="2"/>
  <c r="AT109" i="2"/>
  <c r="AT105" i="2"/>
  <c r="AT101" i="2"/>
  <c r="AT108" i="2"/>
  <c r="AT104" i="2"/>
  <c r="AT98" i="2"/>
  <c r="AT96" i="2"/>
  <c r="AT94" i="2"/>
  <c r="AT92" i="2"/>
  <c r="AT90" i="2"/>
  <c r="AT88" i="2"/>
  <c r="AT86" i="2"/>
  <c r="AT84" i="2"/>
  <c r="AT82" i="2"/>
  <c r="AT80" i="2"/>
  <c r="AT78" i="2"/>
  <c r="AT76" i="2"/>
  <c r="AT74" i="2"/>
  <c r="AT73" i="2"/>
  <c r="AT72" i="2"/>
  <c r="AT71" i="2"/>
  <c r="AT70" i="2"/>
  <c r="AT69" i="2"/>
  <c r="AT68" i="2"/>
  <c r="AT67" i="2"/>
  <c r="AT66" i="2"/>
  <c r="AT65" i="2"/>
  <c r="AT64" i="2"/>
  <c r="AT63" i="2"/>
  <c r="AT62" i="2"/>
  <c r="AT61" i="2"/>
  <c r="AT60" i="2"/>
  <c r="AT59" i="2"/>
  <c r="AT58" i="2"/>
  <c r="AT57" i="2"/>
  <c r="AT55" i="2"/>
  <c r="AT53" i="2"/>
  <c r="AT51" i="2"/>
  <c r="AT49" i="2"/>
  <c r="AT47" i="2"/>
  <c r="AT46" i="2"/>
  <c r="AT44" i="2"/>
  <c r="AT42" i="2"/>
  <c r="AT40" i="2"/>
  <c r="AT27" i="2"/>
  <c r="AM2" i="2"/>
  <c r="AP2" i="2"/>
  <c r="AR2" i="2"/>
  <c r="AQ2" i="2"/>
  <c r="AS2" i="2"/>
  <c r="AH2" i="2"/>
  <c r="AO2" i="2"/>
  <c r="AT2" i="2"/>
  <c r="AN2" i="2"/>
  <c r="F20" i="2"/>
  <c r="A19" i="2"/>
  <c r="J20" i="2"/>
  <c r="G21" i="2"/>
  <c r="A20" i="2"/>
  <c r="AC108" i="2"/>
  <c r="AC104" i="2"/>
  <c r="AC100" i="2"/>
  <c r="AC96" i="2"/>
  <c r="AC92" i="2"/>
  <c r="AC88" i="2"/>
  <c r="AC84" i="2"/>
  <c r="AC80" i="2"/>
  <c r="AC76" i="2"/>
  <c r="AC72" i="2"/>
  <c r="AC107" i="2"/>
  <c r="AC103" i="2"/>
  <c r="AC99" i="2"/>
  <c r="AC95" i="2"/>
  <c r="AC91" i="2"/>
  <c r="AC87" i="2"/>
  <c r="AC83" i="2"/>
  <c r="AC79" i="2"/>
  <c r="AC75" i="2"/>
  <c r="AC71" i="2"/>
  <c r="AC110" i="2"/>
  <c r="AC106" i="2"/>
  <c r="AC102" i="2"/>
  <c r="AC98" i="2"/>
  <c r="AC94" i="2"/>
  <c r="AC90" i="2"/>
  <c r="AC86" i="2"/>
  <c r="AC82" i="2"/>
  <c r="AC78" i="2"/>
  <c r="AC74" i="2"/>
  <c r="AC70" i="2"/>
  <c r="AC65" i="2"/>
  <c r="AC61" i="2"/>
  <c r="AC57" i="2"/>
  <c r="AC53" i="2"/>
  <c r="AC49" i="2"/>
  <c r="AC45" i="2"/>
  <c r="AC41" i="2"/>
  <c r="AC109" i="2"/>
  <c r="AC105" i="2"/>
  <c r="AC101" i="2"/>
  <c r="AC97" i="2"/>
  <c r="AC93" i="2"/>
  <c r="AC89" i="2"/>
  <c r="AC85" i="2"/>
  <c r="AC81" i="2"/>
  <c r="AC77" i="2"/>
  <c r="AC66" i="2"/>
  <c r="AC62" i="2"/>
  <c r="AC58" i="2"/>
  <c r="AC54" i="2"/>
  <c r="AC50" i="2"/>
  <c r="AC46" i="2"/>
  <c r="AC42" i="2"/>
  <c r="AC27" i="2"/>
  <c r="AC73" i="2"/>
  <c r="AC68" i="2"/>
  <c r="AC67" i="2"/>
  <c r="AC64" i="2"/>
  <c r="AC63" i="2"/>
  <c r="AC60" i="2"/>
  <c r="AC59" i="2"/>
  <c r="AC56" i="2"/>
  <c r="AC55" i="2"/>
  <c r="AC52" i="2"/>
  <c r="AC51" i="2"/>
  <c r="AC44" i="2"/>
  <c r="AC69" i="2"/>
  <c r="AC47" i="2"/>
  <c r="AC48" i="2"/>
  <c r="AC40" i="2"/>
  <c r="AC28" i="2"/>
  <c r="AC43" i="2"/>
  <c r="AF109" i="2"/>
  <c r="AF105" i="2"/>
  <c r="AF101" i="2"/>
  <c r="AF97" i="2"/>
  <c r="AF93" i="2"/>
  <c r="AF89" i="2"/>
  <c r="AF85" i="2"/>
  <c r="AF81" i="2"/>
  <c r="AF77" i="2"/>
  <c r="AF73" i="2"/>
  <c r="AF108" i="2"/>
  <c r="AF104" i="2"/>
  <c r="AF100" i="2"/>
  <c r="AF96" i="2"/>
  <c r="AF92" i="2"/>
  <c r="AF88" i="2"/>
  <c r="AF84" i="2"/>
  <c r="AF80" i="2"/>
  <c r="AF76" i="2"/>
  <c r="AF72" i="2"/>
  <c r="AF107" i="2"/>
  <c r="AF103" i="2"/>
  <c r="AF99" i="2"/>
  <c r="AF95" i="2"/>
  <c r="AF91" i="2"/>
  <c r="AF87" i="2"/>
  <c r="AF83" i="2"/>
  <c r="AF79" i="2"/>
  <c r="AF75" i="2"/>
  <c r="AF71" i="2"/>
  <c r="AF66" i="2"/>
  <c r="AF62" i="2"/>
  <c r="AF58" i="2"/>
  <c r="AF54" i="2"/>
  <c r="AF50" i="2"/>
  <c r="AF46" i="2"/>
  <c r="AF42" i="2"/>
  <c r="AF110" i="2"/>
  <c r="AF106" i="2"/>
  <c r="AF102" i="2"/>
  <c r="AF98" i="2"/>
  <c r="AF94" i="2"/>
  <c r="AF90" i="2"/>
  <c r="AF86" i="2"/>
  <c r="AF82" i="2"/>
  <c r="AF67" i="2"/>
  <c r="AF64" i="2"/>
  <c r="AF63" i="2"/>
  <c r="AF60" i="2"/>
  <c r="AF59" i="2"/>
  <c r="AF56" i="2"/>
  <c r="AF55" i="2"/>
  <c r="AF52" i="2"/>
  <c r="AF51" i="2"/>
  <c r="AF78" i="2"/>
  <c r="AF70" i="2"/>
  <c r="AF68" i="2"/>
  <c r="AF65" i="2"/>
  <c r="AF61" i="2"/>
  <c r="AF57" i="2"/>
  <c r="AF53" i="2"/>
  <c r="AF49" i="2"/>
  <c r="AF45" i="2"/>
  <c r="AF41" i="2"/>
  <c r="AF28" i="2"/>
  <c r="AF69" i="2"/>
  <c r="AF47" i="2"/>
  <c r="AF39" i="2"/>
  <c r="AF74" i="2"/>
  <c r="AF48" i="2"/>
  <c r="AF40" i="2"/>
  <c r="AF16" i="2"/>
  <c r="AF43" i="2"/>
  <c r="AF27" i="2"/>
  <c r="AF15" i="2"/>
  <c r="AF44" i="2"/>
  <c r="AG108" i="2"/>
  <c r="AG104" i="2"/>
  <c r="AG100" i="2"/>
  <c r="AG96" i="2"/>
  <c r="AG92" i="2"/>
  <c r="AG88" i="2"/>
  <c r="AG84" i="2"/>
  <c r="AG80" i="2"/>
  <c r="AG76" i="2"/>
  <c r="AG72" i="2"/>
  <c r="AG107" i="2"/>
  <c r="AG103" i="2"/>
  <c r="AG99" i="2"/>
  <c r="AG95" i="2"/>
  <c r="AG91" i="2"/>
  <c r="AG87" i="2"/>
  <c r="AG83" i="2"/>
  <c r="AG79" i="2"/>
  <c r="AG75" i="2"/>
  <c r="AG71" i="2"/>
  <c r="AG110" i="2"/>
  <c r="AG106" i="2"/>
  <c r="AG102" i="2"/>
  <c r="AG98" i="2"/>
  <c r="AG94" i="2"/>
  <c r="AG90" i="2"/>
  <c r="AG86" i="2"/>
  <c r="AG82" i="2"/>
  <c r="AG78" i="2"/>
  <c r="AG74" i="2"/>
  <c r="AG70" i="2"/>
  <c r="AG109" i="2"/>
  <c r="AG105" i="2"/>
  <c r="AG101" i="2"/>
  <c r="AG97" i="2"/>
  <c r="AG93" i="2"/>
  <c r="AG89" i="2"/>
  <c r="AG85" i="2"/>
  <c r="AG81" i="2"/>
  <c r="AG77" i="2"/>
  <c r="AG73" i="2"/>
  <c r="AG65" i="2"/>
  <c r="AG61" i="2"/>
  <c r="AG57" i="2"/>
  <c r="AG53" i="2"/>
  <c r="AG49" i="2"/>
  <c r="AG45" i="2"/>
  <c r="AG41" i="2"/>
  <c r="AG68" i="2"/>
  <c r="AG69" i="2"/>
  <c r="AG27" i="2"/>
  <c r="AG66" i="2"/>
  <c r="AG62" i="2"/>
  <c r="AG58" i="2"/>
  <c r="AG54" i="2"/>
  <c r="AG50" i="2"/>
  <c r="AG63" i="2"/>
  <c r="AG55" i="2"/>
  <c r="AG48" i="2"/>
  <c r="AG46" i="2"/>
  <c r="AG40" i="2"/>
  <c r="AG16" i="2"/>
  <c r="AG64" i="2"/>
  <c r="AG56" i="2"/>
  <c r="AG43" i="2"/>
  <c r="AG15" i="2"/>
  <c r="AG67" i="2"/>
  <c r="AG59" i="2"/>
  <c r="AG51" i="2"/>
  <c r="AG44" i="2"/>
  <c r="AG42" i="2"/>
  <c r="AG60" i="2"/>
  <c r="AG52" i="2"/>
  <c r="AG47" i="2"/>
  <c r="AG39" i="2"/>
  <c r="AG28" i="2"/>
  <c r="AD107" i="2"/>
  <c r="AD103" i="2"/>
  <c r="AD99" i="2"/>
  <c r="AD95" i="2"/>
  <c r="AD91" i="2"/>
  <c r="AD87" i="2"/>
  <c r="AD83" i="2"/>
  <c r="AD79" i="2"/>
  <c r="AD75" i="2"/>
  <c r="AD71" i="2"/>
  <c r="AD110" i="2"/>
  <c r="AD106" i="2"/>
  <c r="AD102" i="2"/>
  <c r="AD98" i="2"/>
  <c r="AD94" i="2"/>
  <c r="AD90" i="2"/>
  <c r="AD86" i="2"/>
  <c r="AD82" i="2"/>
  <c r="AD78" i="2"/>
  <c r="AD74" i="2"/>
  <c r="AD70" i="2"/>
  <c r="AD109" i="2"/>
  <c r="AD105" i="2"/>
  <c r="AD101" i="2"/>
  <c r="AD97" i="2"/>
  <c r="AD93" i="2"/>
  <c r="AD89" i="2"/>
  <c r="AD85" i="2"/>
  <c r="AD81" i="2"/>
  <c r="AD77" i="2"/>
  <c r="AD73" i="2"/>
  <c r="AD69" i="2"/>
  <c r="AD108" i="2"/>
  <c r="AD104" i="2"/>
  <c r="AD100" i="2"/>
  <c r="AD96" i="2"/>
  <c r="AD92" i="2"/>
  <c r="AD88" i="2"/>
  <c r="AD84" i="2"/>
  <c r="AD80" i="2"/>
  <c r="AD76" i="2"/>
  <c r="AD72" i="2"/>
  <c r="AD68" i="2"/>
  <c r="AD64" i="2"/>
  <c r="AD60" i="2"/>
  <c r="AD56" i="2"/>
  <c r="AD52" i="2"/>
  <c r="AD48" i="2"/>
  <c r="AD44" i="2"/>
  <c r="AD40" i="2"/>
  <c r="AD66" i="2"/>
  <c r="AD62" i="2"/>
  <c r="AD58" i="2"/>
  <c r="AD54" i="2"/>
  <c r="AD67" i="2"/>
  <c r="AD63" i="2"/>
  <c r="AD59" i="2"/>
  <c r="AD55" i="2"/>
  <c r="AD51" i="2"/>
  <c r="AD47" i="2"/>
  <c r="AD43" i="2"/>
  <c r="AD39" i="2"/>
  <c r="AD42" i="2"/>
  <c r="AD27" i="2"/>
  <c r="AD15" i="2"/>
  <c r="AD61" i="2"/>
  <c r="AD53" i="2"/>
  <c r="AD49" i="2"/>
  <c r="AD41" i="2"/>
  <c r="AD28" i="2"/>
  <c r="AD16" i="2"/>
  <c r="AD50" i="2"/>
  <c r="AD46" i="2"/>
  <c r="AD65" i="2"/>
  <c r="AD57" i="2"/>
  <c r="AD45" i="2"/>
  <c r="AA110" i="2"/>
  <c r="AA106" i="2"/>
  <c r="AA102" i="2"/>
  <c r="AA98" i="2"/>
  <c r="AA94" i="2"/>
  <c r="AA90" i="2"/>
  <c r="AA86" i="2"/>
  <c r="AA82" i="2"/>
  <c r="AA78" i="2"/>
  <c r="AA74" i="2"/>
  <c r="AA109" i="2"/>
  <c r="AA105" i="2"/>
  <c r="AA101" i="2"/>
  <c r="AA97" i="2"/>
  <c r="AA93" i="2"/>
  <c r="AA89" i="2"/>
  <c r="AA85" i="2"/>
  <c r="AA81" i="2"/>
  <c r="AA77" i="2"/>
  <c r="AA73" i="2"/>
  <c r="AA108" i="2"/>
  <c r="AA104" i="2"/>
  <c r="AA100" i="2"/>
  <c r="AA96" i="2"/>
  <c r="AA92" i="2"/>
  <c r="AA88" i="2"/>
  <c r="AA84" i="2"/>
  <c r="AA80" i="2"/>
  <c r="AA76" i="2"/>
  <c r="AA72" i="2"/>
  <c r="AA70" i="2"/>
  <c r="AA67" i="2"/>
  <c r="AA63" i="2"/>
  <c r="AA59" i="2"/>
  <c r="AA55" i="2"/>
  <c r="AA51" i="2"/>
  <c r="AA47" i="2"/>
  <c r="AA43" i="2"/>
  <c r="AA39" i="2"/>
  <c r="AA68" i="2"/>
  <c r="AA64" i="2"/>
  <c r="AA60" i="2"/>
  <c r="AA56" i="2"/>
  <c r="AA52" i="2"/>
  <c r="AA75" i="2"/>
  <c r="AA69" i="2"/>
  <c r="AA65" i="2"/>
  <c r="AA61" i="2"/>
  <c r="AA57" i="2"/>
  <c r="AA53" i="2"/>
  <c r="AA49" i="2"/>
  <c r="AA45" i="2"/>
  <c r="AA41" i="2"/>
  <c r="AA29" i="2"/>
  <c r="AA25" i="2"/>
  <c r="AA66" i="2"/>
  <c r="AA62" i="2"/>
  <c r="AA58" i="2"/>
  <c r="AA54" i="2"/>
  <c r="AA50" i="2"/>
  <c r="AA107" i="2"/>
  <c r="AA91" i="2"/>
  <c r="AA48" i="2"/>
  <c r="AA40" i="2"/>
  <c r="AA21" i="2"/>
  <c r="AA103" i="2"/>
  <c r="AA87" i="2"/>
  <c r="AA71" i="2"/>
  <c r="AA42" i="2"/>
  <c r="AA26" i="2"/>
  <c r="AA24" i="2"/>
  <c r="AA20" i="2"/>
  <c r="AA99" i="2"/>
  <c r="AA83" i="2"/>
  <c r="AA44" i="2"/>
  <c r="AA27" i="2"/>
  <c r="AA23" i="2"/>
  <c r="AA19" i="2"/>
  <c r="AA95" i="2"/>
  <c r="AA79" i="2"/>
  <c r="AA46" i="2"/>
  <c r="AA28" i="2"/>
  <c r="AA22" i="2"/>
  <c r="AE110" i="2"/>
  <c r="AE106" i="2"/>
  <c r="AE102" i="2"/>
  <c r="AE98" i="2"/>
  <c r="AE94" i="2"/>
  <c r="AE90" i="2"/>
  <c r="AE86" i="2"/>
  <c r="AE82" i="2"/>
  <c r="AE78" i="2"/>
  <c r="AE74" i="2"/>
  <c r="AE109" i="2"/>
  <c r="AE105" i="2"/>
  <c r="AE101" i="2"/>
  <c r="AE97" i="2"/>
  <c r="AE93" i="2"/>
  <c r="AE89" i="2"/>
  <c r="AE85" i="2"/>
  <c r="AE81" i="2"/>
  <c r="AE77" i="2"/>
  <c r="AE73" i="2"/>
  <c r="AE108" i="2"/>
  <c r="AE104" i="2"/>
  <c r="AE100" i="2"/>
  <c r="AE96" i="2"/>
  <c r="AE92" i="2"/>
  <c r="AE88" i="2"/>
  <c r="AE84" i="2"/>
  <c r="AE80" i="2"/>
  <c r="AE76" i="2"/>
  <c r="AE72" i="2"/>
  <c r="AE68" i="2"/>
  <c r="AE69" i="2"/>
  <c r="AE67" i="2"/>
  <c r="AE63" i="2"/>
  <c r="AE59" i="2"/>
  <c r="AE55" i="2"/>
  <c r="AE51" i="2"/>
  <c r="AE47" i="2"/>
  <c r="AE43" i="2"/>
  <c r="AE39" i="2"/>
  <c r="AE75" i="2"/>
  <c r="AE64" i="2"/>
  <c r="AE60" i="2"/>
  <c r="AE56" i="2"/>
  <c r="AE52" i="2"/>
  <c r="AE48" i="2"/>
  <c r="AE44" i="2"/>
  <c r="AE40" i="2"/>
  <c r="AE107" i="2"/>
  <c r="AE103" i="2"/>
  <c r="AE99" i="2"/>
  <c r="AE95" i="2"/>
  <c r="AE91" i="2"/>
  <c r="AE87" i="2"/>
  <c r="AE83" i="2"/>
  <c r="AE79" i="2"/>
  <c r="AE71" i="2"/>
  <c r="AE70" i="2"/>
  <c r="AE65" i="2"/>
  <c r="AE61" i="2"/>
  <c r="AE57" i="2"/>
  <c r="AE53" i="2"/>
  <c r="AE49" i="2"/>
  <c r="AE41" i="2"/>
  <c r="AE28" i="2"/>
  <c r="AE15" i="2"/>
  <c r="AE66" i="2"/>
  <c r="AE58" i="2"/>
  <c r="AE50" i="2"/>
  <c r="AE46" i="2"/>
  <c r="AE45" i="2"/>
  <c r="AE62" i="2"/>
  <c r="AE54" i="2"/>
  <c r="AE42" i="2"/>
  <c r="AE27" i="2"/>
  <c r="AH107" i="2"/>
  <c r="AH103" i="2"/>
  <c r="AH99" i="2"/>
  <c r="AH95" i="2"/>
  <c r="AH91" i="2"/>
  <c r="AH87" i="2"/>
  <c r="AH83" i="2"/>
  <c r="AH79" i="2"/>
  <c r="AH75" i="2"/>
  <c r="AH71" i="2"/>
  <c r="AH110" i="2"/>
  <c r="AH106" i="2"/>
  <c r="AH102" i="2"/>
  <c r="AH98" i="2"/>
  <c r="AH94" i="2"/>
  <c r="AH90" i="2"/>
  <c r="AH86" i="2"/>
  <c r="AH82" i="2"/>
  <c r="AH78" i="2"/>
  <c r="AH74" i="2"/>
  <c r="AH70" i="2"/>
  <c r="AH109" i="2"/>
  <c r="AH105" i="2"/>
  <c r="AH101" i="2"/>
  <c r="AH97" i="2"/>
  <c r="AH93" i="2"/>
  <c r="AH89" i="2"/>
  <c r="AH85" i="2"/>
  <c r="AH81" i="2"/>
  <c r="AH77" i="2"/>
  <c r="AH73" i="2"/>
  <c r="AH69" i="2"/>
  <c r="AH64" i="2"/>
  <c r="AH60" i="2"/>
  <c r="AH56" i="2"/>
  <c r="AH52" i="2"/>
  <c r="AH48" i="2"/>
  <c r="AH44" i="2"/>
  <c r="AH40" i="2"/>
  <c r="AH108" i="2"/>
  <c r="AH104" i="2"/>
  <c r="AH100" i="2"/>
  <c r="AH96" i="2"/>
  <c r="AH92" i="2"/>
  <c r="AH88" i="2"/>
  <c r="AH84" i="2"/>
  <c r="AH80" i="2"/>
  <c r="AH72" i="2"/>
  <c r="AH65" i="2"/>
  <c r="AH61" i="2"/>
  <c r="AH57" i="2"/>
  <c r="AH53" i="2"/>
  <c r="AH66" i="2"/>
  <c r="AH62" i="2"/>
  <c r="AH58" i="2"/>
  <c r="AH54" i="2"/>
  <c r="AH50" i="2"/>
  <c r="AH46" i="2"/>
  <c r="AH42" i="2"/>
  <c r="AH76" i="2"/>
  <c r="AH67" i="2"/>
  <c r="AH63" i="2"/>
  <c r="AH59" i="2"/>
  <c r="AH55" i="2"/>
  <c r="AH51" i="2"/>
  <c r="AH49" i="2"/>
  <c r="AH43" i="2"/>
  <c r="AH15" i="2"/>
  <c r="AH45" i="2"/>
  <c r="AH27" i="2"/>
  <c r="AH16" i="2"/>
  <c r="AH47" i="2"/>
  <c r="AH39" i="2"/>
  <c r="AH28" i="2"/>
  <c r="AH68" i="2"/>
  <c r="AH41" i="2"/>
  <c r="AB109" i="2"/>
  <c r="AB105" i="2"/>
  <c r="AB101" i="2"/>
  <c r="AB97" i="2"/>
  <c r="AB93" i="2"/>
  <c r="AB89" i="2"/>
  <c r="AB85" i="2"/>
  <c r="AB81" i="2"/>
  <c r="AB77" i="2"/>
  <c r="AB73" i="2"/>
  <c r="AB108" i="2"/>
  <c r="AB104" i="2"/>
  <c r="AB100" i="2"/>
  <c r="AB96" i="2"/>
  <c r="AB92" i="2"/>
  <c r="AB88" i="2"/>
  <c r="AB84" i="2"/>
  <c r="AB80" i="2"/>
  <c r="AB76" i="2"/>
  <c r="AB72" i="2"/>
  <c r="AB107" i="2"/>
  <c r="AB103" i="2"/>
  <c r="AB99" i="2"/>
  <c r="AB95" i="2"/>
  <c r="AB91" i="2"/>
  <c r="AB87" i="2"/>
  <c r="AB83" i="2"/>
  <c r="AB79" i="2"/>
  <c r="AB75" i="2"/>
  <c r="AB71" i="2"/>
  <c r="AB66" i="2"/>
  <c r="AB62" i="2"/>
  <c r="AB58" i="2"/>
  <c r="AB54" i="2"/>
  <c r="AB50" i="2"/>
  <c r="AB46" i="2"/>
  <c r="AB42" i="2"/>
  <c r="AB74" i="2"/>
  <c r="AB69" i="2"/>
  <c r="AB65" i="2"/>
  <c r="AB61" i="2"/>
  <c r="AB57" i="2"/>
  <c r="AB53" i="2"/>
  <c r="AB110" i="2"/>
  <c r="AB106" i="2"/>
  <c r="AB102" i="2"/>
  <c r="AB98" i="2"/>
  <c r="AB94" i="2"/>
  <c r="AB90" i="2"/>
  <c r="AB86" i="2"/>
  <c r="AB82" i="2"/>
  <c r="AB28" i="2"/>
  <c r="AB78" i="2"/>
  <c r="AB68" i="2"/>
  <c r="AB60" i="2"/>
  <c r="AB52" i="2"/>
  <c r="AB45" i="2"/>
  <c r="AB43" i="2"/>
  <c r="AB63" i="2"/>
  <c r="AB55" i="2"/>
  <c r="AB44" i="2"/>
  <c r="AB64" i="2"/>
  <c r="AB56" i="2"/>
  <c r="AB49" i="2"/>
  <c r="AB47" i="2"/>
  <c r="AB41" i="2"/>
  <c r="AB39" i="2"/>
  <c r="AB70" i="2"/>
  <c r="AB67" i="2"/>
  <c r="AB59" i="2"/>
  <c r="AB51" i="2"/>
  <c r="AB48" i="2"/>
  <c r="AB40" i="2"/>
  <c r="G38" i="2"/>
  <c r="K38" i="2"/>
  <c r="H38" i="2"/>
  <c r="J38" i="2"/>
  <c r="I38" i="2"/>
  <c r="J37" i="2"/>
  <c r="G37" i="2"/>
  <c r="K37" i="2"/>
  <c r="I14" i="2"/>
  <c r="D14" i="2"/>
  <c r="K14" i="2"/>
  <c r="E14" i="2"/>
  <c r="G14" i="2"/>
  <c r="H14" i="2"/>
  <c r="J14" i="2"/>
  <c r="C14" i="2"/>
  <c r="F14" i="2"/>
  <c r="H37" i="2"/>
  <c r="I37" i="2"/>
  <c r="K22" i="2"/>
  <c r="J22" i="2"/>
  <c r="I22" i="2"/>
  <c r="H22" i="2"/>
  <c r="G22" i="2"/>
  <c r="F22" i="2"/>
  <c r="A22" i="2"/>
  <c r="K23" i="2"/>
  <c r="J23" i="2"/>
  <c r="I23" i="2"/>
  <c r="H23" i="2"/>
  <c r="G23" i="2"/>
  <c r="F23" i="2"/>
  <c r="A23" i="2"/>
  <c r="K24" i="2"/>
  <c r="J24" i="2"/>
  <c r="I24" i="2"/>
  <c r="H24" i="2"/>
  <c r="G24" i="2"/>
  <c r="F24" i="2"/>
  <c r="A24" i="2"/>
  <c r="L5" i="2"/>
  <c r="E13" i="2"/>
  <c r="I13" i="2"/>
  <c r="L9" i="2"/>
  <c r="M9" i="2" s="1"/>
  <c r="C13" i="2"/>
  <c r="G13" i="2"/>
  <c r="K13" i="2"/>
  <c r="L7" i="2"/>
  <c r="M7" i="2" s="1"/>
  <c r="D13" i="2"/>
  <c r="H13" i="2"/>
  <c r="L8" i="2"/>
  <c r="M8" i="2" s="1"/>
  <c r="L10" i="2"/>
  <c r="M10" i="2" s="1"/>
  <c r="L12" i="2"/>
  <c r="M12" i="2" s="1"/>
  <c r="L6" i="2"/>
  <c r="M6" i="2" s="1"/>
  <c r="L11" i="2"/>
  <c r="M11" i="2" s="1"/>
  <c r="F13" i="2"/>
  <c r="J13" i="2"/>
  <c r="AA18" i="2"/>
  <c r="AP17" i="2"/>
  <c r="AO15" i="2"/>
  <c r="AF29" i="2"/>
  <c r="AO29" i="2"/>
  <c r="AP29" i="2"/>
  <c r="AS18" i="2"/>
  <c r="AT18" i="2"/>
  <c r="AE19" i="2"/>
  <c r="AR19" i="2"/>
  <c r="AS19" i="2"/>
  <c r="AT19" i="2"/>
  <c r="AO19" i="2"/>
  <c r="AP19" i="2"/>
  <c r="AQ20" i="2"/>
  <c r="AP20" i="2"/>
  <c r="AR20" i="2"/>
  <c r="AS20" i="2"/>
  <c r="AT20" i="2"/>
  <c r="AC20" i="2"/>
  <c r="AS21" i="2"/>
  <c r="AT21" i="2"/>
  <c r="AQ21" i="2"/>
  <c r="AO21" i="2"/>
  <c r="AD21" i="2"/>
  <c r="AF21" i="2"/>
  <c r="AT22" i="2"/>
  <c r="AQ22" i="2"/>
  <c r="AO22" i="2"/>
  <c r="AD22" i="2"/>
  <c r="AF22" i="2"/>
  <c r="AS22" i="2"/>
  <c r="AQ23" i="2"/>
  <c r="AO23" i="2"/>
  <c r="AD23" i="2"/>
  <c r="AF23" i="2"/>
  <c r="AG23" i="2"/>
  <c r="AT23" i="2"/>
  <c r="AQ24" i="2"/>
  <c r="AO24" i="2"/>
  <c r="AP24" i="2"/>
  <c r="AF24" i="2"/>
  <c r="AS24" i="2"/>
  <c r="AH24" i="2"/>
  <c r="AT25" i="2"/>
  <c r="AB25" i="2"/>
  <c r="AQ25" i="2"/>
  <c r="AO25" i="2"/>
  <c r="AP25" i="2"/>
  <c r="AR25" i="2"/>
  <c r="AS25" i="2"/>
  <c r="AS26" i="2"/>
  <c r="AH26" i="2"/>
  <c r="AQ26" i="2"/>
  <c r="AC26" i="2"/>
  <c r="AP26" i="2"/>
  <c r="AF26" i="2"/>
  <c r="AC39" i="2"/>
  <c r="E1006" i="20"/>
  <c r="E1007" i="20"/>
  <c r="E1008" i="20"/>
  <c r="E1009" i="20"/>
  <c r="E1010" i="20"/>
  <c r="E1011" i="20"/>
  <c r="E1012" i="20"/>
  <c r="E1013" i="20"/>
  <c r="E1014" i="20"/>
  <c r="E1015" i="20"/>
  <c r="E1016" i="20"/>
  <c r="E1017" i="20"/>
  <c r="E1018" i="20"/>
  <c r="E1019" i="20"/>
  <c r="E1020" i="20"/>
  <c r="E1021" i="20"/>
  <c r="E1022" i="20"/>
  <c r="E1023" i="20"/>
  <c r="E1024" i="20"/>
  <c r="E1025" i="20"/>
  <c r="E1026" i="20"/>
  <c r="E1027" i="20"/>
  <c r="E1028" i="20"/>
  <c r="E1029" i="20"/>
  <c r="E1030" i="20"/>
  <c r="E1031" i="20"/>
  <c r="E1032" i="20"/>
  <c r="E1033" i="20"/>
  <c r="E1034" i="20"/>
  <c r="E1035" i="20"/>
  <c r="E1036" i="20"/>
  <c r="E1037" i="20"/>
  <c r="E1038" i="20"/>
  <c r="E1039" i="20"/>
  <c r="E1040" i="20"/>
  <c r="E1041" i="20"/>
  <c r="E1042" i="20"/>
  <c r="E1043" i="20"/>
  <c r="E1044" i="20"/>
  <c r="E1045" i="20"/>
  <c r="E1046" i="20"/>
  <c r="E1047" i="20"/>
  <c r="E1048" i="20"/>
  <c r="E1049" i="20"/>
  <c r="E1050" i="20"/>
  <c r="E1051" i="20"/>
  <c r="E1052" i="20"/>
  <c r="E1053" i="20"/>
  <c r="E1054" i="20"/>
  <c r="E1055" i="20"/>
  <c r="E1056" i="20"/>
  <c r="E1057" i="20"/>
  <c r="E1058" i="20"/>
  <c r="E1059" i="20"/>
  <c r="E1060" i="20"/>
  <c r="E1061" i="20"/>
  <c r="E1062" i="20"/>
  <c r="E1063" i="20"/>
  <c r="E1064" i="20"/>
  <c r="E1065" i="20"/>
  <c r="E1066" i="20"/>
  <c r="E1067" i="20"/>
  <c r="E1068" i="20"/>
  <c r="E1069" i="20"/>
  <c r="E1070" i="20"/>
  <c r="E1071" i="20"/>
  <c r="E1072" i="20"/>
  <c r="E1073" i="20"/>
  <c r="E1074" i="20"/>
  <c r="E1075" i="20"/>
  <c r="E1076" i="20"/>
  <c r="E1077" i="20"/>
  <c r="E1078" i="20"/>
  <c r="E1079" i="20"/>
  <c r="E1080" i="20"/>
  <c r="E1081" i="20"/>
  <c r="E1082" i="20"/>
  <c r="E1083" i="20"/>
  <c r="E1084" i="20"/>
  <c r="E1085" i="20"/>
  <c r="E1086" i="20"/>
  <c r="E1087" i="20"/>
  <c r="E1088" i="20"/>
  <c r="E1089" i="20"/>
  <c r="E1090" i="20"/>
  <c r="E1091" i="20"/>
  <c r="E1092" i="20"/>
  <c r="E1093" i="20"/>
  <c r="E1094" i="20"/>
  <c r="E1095" i="20"/>
  <c r="E1096" i="20"/>
  <c r="E1097" i="20"/>
  <c r="E1098" i="20"/>
  <c r="E1099" i="20"/>
  <c r="E1100" i="20"/>
  <c r="E1101" i="20"/>
  <c r="E1102" i="20"/>
  <c r="E1103" i="20"/>
  <c r="E1104" i="20"/>
  <c r="E1105" i="20"/>
  <c r="E1106" i="20"/>
  <c r="E1107" i="20"/>
  <c r="E1108" i="20"/>
  <c r="E1109" i="20"/>
  <c r="E1110" i="20"/>
  <c r="E1111" i="20"/>
  <c r="E1112" i="20"/>
  <c r="E1113" i="20"/>
  <c r="E1114" i="20"/>
  <c r="E1115" i="20"/>
  <c r="E1116" i="20"/>
  <c r="E1117" i="20"/>
  <c r="E1118" i="20"/>
  <c r="E1119" i="20"/>
  <c r="E1120" i="20"/>
  <c r="E1121" i="20"/>
  <c r="E1122" i="20"/>
  <c r="E1123" i="20"/>
  <c r="E1124" i="20"/>
  <c r="E1125" i="20"/>
  <c r="E1126" i="20"/>
  <c r="E1127" i="20"/>
  <c r="E1128" i="20"/>
  <c r="E1129" i="20"/>
  <c r="E1130" i="20"/>
  <c r="E1131" i="20"/>
  <c r="E1132" i="20"/>
  <c r="E1133" i="20"/>
  <c r="E1134" i="20"/>
  <c r="E1135" i="20"/>
  <c r="E1136" i="20"/>
  <c r="E1137" i="20"/>
  <c r="E1138" i="20"/>
  <c r="E1139" i="20"/>
  <c r="E1140" i="20"/>
  <c r="E1141" i="20"/>
  <c r="E1142" i="20"/>
  <c r="E1143" i="20"/>
  <c r="E1144" i="20"/>
  <c r="E1145" i="20"/>
  <c r="E1146" i="20"/>
  <c r="E1147" i="20"/>
  <c r="E1148" i="20"/>
  <c r="E1149" i="20"/>
  <c r="E1150" i="20"/>
  <c r="E1151" i="20"/>
  <c r="E1152" i="20"/>
  <c r="E1153" i="20"/>
  <c r="E1154" i="20"/>
  <c r="E1155" i="20"/>
  <c r="E1156" i="20"/>
  <c r="E1157" i="20"/>
  <c r="E1158" i="20"/>
  <c r="E1159" i="20"/>
  <c r="E1160" i="20"/>
  <c r="E1161" i="20"/>
  <c r="E1162" i="20"/>
  <c r="E1163" i="20"/>
  <c r="E1164" i="20"/>
  <c r="E1165" i="20"/>
  <c r="E1166" i="20"/>
  <c r="E1167" i="20"/>
  <c r="E1168" i="20"/>
  <c r="E1169" i="20"/>
  <c r="E1170" i="20"/>
  <c r="E1171" i="20"/>
  <c r="E1172" i="20"/>
  <c r="E1173" i="20"/>
  <c r="E1174" i="20"/>
  <c r="E1175" i="20"/>
  <c r="E1176" i="20"/>
  <c r="E1177" i="20"/>
  <c r="E1178" i="20"/>
  <c r="E1179" i="20"/>
  <c r="E1180" i="20"/>
  <c r="E1181" i="20"/>
  <c r="E1182" i="20"/>
  <c r="E1183" i="20"/>
  <c r="E1184" i="20"/>
  <c r="E1185" i="20"/>
  <c r="E1186" i="20"/>
  <c r="E1187" i="20"/>
  <c r="E1188" i="20"/>
  <c r="E1189" i="20"/>
  <c r="E1190" i="20"/>
  <c r="E1191" i="20"/>
  <c r="E1192" i="20"/>
  <c r="E1193" i="20"/>
  <c r="E1194" i="20"/>
  <c r="E1195" i="20"/>
  <c r="E1196" i="20"/>
  <c r="E1197" i="20"/>
  <c r="E1198" i="20"/>
  <c r="E1199" i="20"/>
  <c r="E1200" i="20"/>
  <c r="E1201" i="20"/>
  <c r="E1202" i="20"/>
  <c r="E1203" i="20"/>
  <c r="E1204" i="20"/>
  <c r="E1205" i="20"/>
  <c r="E1206" i="20"/>
  <c r="E1207" i="20"/>
  <c r="E1208" i="20"/>
  <c r="E1209" i="20"/>
  <c r="E1210" i="20"/>
  <c r="E1211" i="20"/>
  <c r="E1212" i="20"/>
  <c r="E1213" i="20"/>
  <c r="E1214" i="20"/>
  <c r="E1215" i="20"/>
  <c r="E1216" i="20"/>
  <c r="E1217" i="20"/>
  <c r="E1218" i="20"/>
  <c r="E1219" i="20"/>
  <c r="E1220" i="20"/>
  <c r="E1221" i="20"/>
  <c r="E1222" i="20"/>
  <c r="E1223" i="20"/>
  <c r="E1224" i="20"/>
  <c r="E1225" i="20"/>
  <c r="E1226" i="20"/>
  <c r="E1227" i="20"/>
  <c r="E1228" i="20"/>
  <c r="E1229" i="20"/>
  <c r="E1230" i="20"/>
  <c r="E1231" i="20"/>
  <c r="E1232" i="20"/>
  <c r="E1233" i="20"/>
  <c r="E1234" i="20"/>
  <c r="E1235" i="20"/>
  <c r="E1236" i="20"/>
  <c r="E1237" i="20"/>
  <c r="E1238" i="20"/>
  <c r="E1239" i="20"/>
  <c r="E1240" i="20"/>
  <c r="E1241" i="20"/>
  <c r="E1242" i="20"/>
  <c r="E1243" i="20"/>
  <c r="E1244" i="20"/>
  <c r="E1245" i="20"/>
  <c r="E1246" i="20"/>
  <c r="E1247" i="20"/>
  <c r="E1248" i="20"/>
  <c r="E1249" i="20"/>
  <c r="E1250" i="20"/>
  <c r="E1251" i="20"/>
  <c r="E1252" i="20"/>
  <c r="E1253" i="20"/>
  <c r="E1254" i="20"/>
  <c r="E1255" i="20"/>
  <c r="E1256" i="20"/>
  <c r="E1257" i="20"/>
  <c r="E1258" i="20"/>
  <c r="E1259" i="20"/>
  <c r="E1260" i="20"/>
  <c r="E1261" i="20"/>
  <c r="E1262" i="20"/>
  <c r="E1263" i="20"/>
  <c r="E1264" i="20"/>
  <c r="E1265" i="20"/>
  <c r="E1266" i="20"/>
  <c r="E1267" i="20"/>
  <c r="E1268" i="20"/>
  <c r="E1269" i="20"/>
  <c r="E1270" i="20"/>
  <c r="E1271" i="20"/>
  <c r="E1272" i="20"/>
  <c r="E1273" i="20"/>
  <c r="E1274" i="20"/>
  <c r="E1275" i="20"/>
  <c r="E1276" i="20"/>
  <c r="E1277" i="20"/>
  <c r="E1278" i="20"/>
  <c r="E1279" i="20"/>
  <c r="E1280" i="20"/>
  <c r="E1281" i="20"/>
  <c r="E1282" i="20"/>
  <c r="E1283" i="20"/>
  <c r="E1284" i="20"/>
  <c r="E1285" i="20"/>
  <c r="E1286" i="20"/>
  <c r="E1287" i="20"/>
  <c r="E1288" i="20"/>
  <c r="E1289" i="20"/>
  <c r="E1290" i="20"/>
  <c r="E1291" i="20"/>
  <c r="E1292" i="20"/>
  <c r="E1293" i="20"/>
  <c r="E1294" i="20"/>
  <c r="E1295" i="20"/>
  <c r="E1296" i="20"/>
  <c r="E1297" i="20"/>
  <c r="E1298" i="20"/>
  <c r="E1299" i="20"/>
  <c r="E1300" i="20"/>
  <c r="E1301" i="20"/>
  <c r="E1302" i="20"/>
  <c r="E1303" i="20"/>
  <c r="E1304" i="20"/>
  <c r="E1305" i="20"/>
  <c r="E1306" i="20"/>
  <c r="E1307" i="20"/>
  <c r="E1308" i="20"/>
  <c r="E1309" i="20"/>
  <c r="E1310" i="20"/>
  <c r="E1311" i="20"/>
  <c r="E1312" i="20"/>
  <c r="E1313" i="20"/>
  <c r="E1314" i="20"/>
  <c r="E1315" i="20"/>
  <c r="E1316" i="20"/>
  <c r="E1317" i="20"/>
  <c r="E1318" i="20"/>
  <c r="E1319" i="20"/>
  <c r="E1320" i="20"/>
  <c r="E1321" i="20"/>
  <c r="E1322" i="20"/>
  <c r="E1323" i="20"/>
  <c r="E1324" i="20"/>
  <c r="E1325" i="20"/>
  <c r="E1326" i="20"/>
  <c r="E1327" i="20"/>
  <c r="E1328" i="20"/>
  <c r="E1329" i="20"/>
  <c r="E1330" i="20"/>
  <c r="E1331" i="20"/>
  <c r="E1332" i="20"/>
  <c r="E1333" i="20"/>
  <c r="E1334" i="20"/>
  <c r="E1335" i="20"/>
  <c r="E1336" i="20"/>
  <c r="E1337" i="20"/>
  <c r="E1338" i="20"/>
  <c r="E1339" i="20"/>
  <c r="E1340" i="20"/>
  <c r="E1341" i="20"/>
  <c r="E1342" i="20"/>
  <c r="E1343" i="20"/>
  <c r="E1344" i="20"/>
  <c r="E1345" i="20"/>
  <c r="E1346" i="20"/>
  <c r="E1347" i="20"/>
  <c r="E1348" i="20"/>
  <c r="E1349" i="20"/>
  <c r="E1350" i="20"/>
  <c r="E1351" i="20"/>
  <c r="E1352" i="20"/>
  <c r="E1353" i="20"/>
  <c r="E1354" i="20"/>
  <c r="E1355" i="20"/>
  <c r="E1356" i="20"/>
  <c r="E1357" i="20"/>
  <c r="E1358" i="20"/>
  <c r="E1359" i="20"/>
  <c r="E1360" i="20"/>
  <c r="E1361" i="20"/>
  <c r="E1362" i="20"/>
  <c r="E1363" i="20"/>
  <c r="E1364" i="20"/>
  <c r="E1365" i="20"/>
  <c r="E1366" i="20"/>
  <c r="E1367" i="20"/>
  <c r="E1368" i="20"/>
  <c r="E1369" i="20"/>
  <c r="E1370" i="20"/>
  <c r="E1371" i="20"/>
  <c r="E1372" i="20"/>
  <c r="E1373" i="20"/>
  <c r="E1374" i="20"/>
  <c r="E1375" i="20"/>
  <c r="E1376" i="20"/>
  <c r="E1377" i="20"/>
  <c r="E1378" i="20"/>
  <c r="E1379" i="20"/>
  <c r="E1380" i="20"/>
  <c r="E1381" i="20"/>
  <c r="E1382" i="20"/>
  <c r="E1383" i="20"/>
  <c r="E1384" i="20"/>
  <c r="E1385" i="20"/>
  <c r="E1386" i="20"/>
  <c r="E1387" i="20"/>
  <c r="E1388" i="20"/>
  <c r="E1389" i="20"/>
  <c r="E1390" i="20"/>
  <c r="E1391" i="20"/>
  <c r="E1392" i="20"/>
  <c r="E1393" i="20"/>
  <c r="E1394" i="20"/>
  <c r="E1395" i="20"/>
  <c r="E1396" i="20"/>
  <c r="E1397" i="20"/>
  <c r="E1398" i="20"/>
  <c r="E1399" i="20"/>
  <c r="E1400" i="20"/>
  <c r="E1401" i="20"/>
  <c r="E1402" i="20"/>
  <c r="E1403" i="20"/>
  <c r="E1404" i="20"/>
  <c r="E1405" i="20"/>
  <c r="E1406" i="20"/>
  <c r="E1407" i="20"/>
  <c r="E1408" i="20"/>
  <c r="E1409" i="20"/>
  <c r="E1410" i="20"/>
  <c r="E1411" i="20"/>
  <c r="E1412" i="20"/>
  <c r="E1413" i="20"/>
  <c r="E1414" i="20"/>
  <c r="E1415" i="20"/>
  <c r="E1416" i="20"/>
  <c r="E1417" i="20"/>
  <c r="E1418" i="20"/>
  <c r="E1419" i="20"/>
  <c r="E1420" i="20"/>
  <c r="E1421" i="20"/>
  <c r="E1422" i="20"/>
  <c r="E1423" i="20"/>
  <c r="E1424" i="20"/>
  <c r="E1425" i="20"/>
  <c r="E1426" i="20"/>
  <c r="E1427" i="20"/>
  <c r="E1428" i="20"/>
  <c r="E1429" i="20"/>
  <c r="E1430" i="20"/>
  <c r="E1431" i="20"/>
  <c r="E1432" i="20"/>
  <c r="E1433" i="20"/>
  <c r="E1434" i="20"/>
  <c r="E1435" i="20"/>
  <c r="E1436" i="20"/>
  <c r="E1437" i="20"/>
  <c r="E1438" i="20"/>
  <c r="E1439" i="20"/>
  <c r="E1440" i="20"/>
  <c r="E1441" i="20"/>
  <c r="E1442" i="20"/>
  <c r="E1443" i="20"/>
  <c r="E1444" i="20"/>
  <c r="E1445" i="20"/>
  <c r="E1446" i="20"/>
  <c r="E1447" i="20"/>
  <c r="E1448" i="20"/>
  <c r="E1449" i="20"/>
  <c r="E1450" i="20"/>
  <c r="E1451" i="20"/>
  <c r="E1452" i="20"/>
  <c r="E1453" i="20"/>
  <c r="E1454" i="20"/>
  <c r="E1455" i="20"/>
  <c r="E1456" i="20"/>
  <c r="E1457" i="20"/>
  <c r="E1458" i="20"/>
  <c r="E1459" i="20"/>
  <c r="E1460" i="20"/>
  <c r="E1461" i="20"/>
  <c r="E1462" i="20"/>
  <c r="E1463" i="20"/>
  <c r="E1464" i="20"/>
  <c r="E1465" i="20"/>
  <c r="E1466" i="20"/>
  <c r="E1467" i="20"/>
  <c r="E1468" i="20"/>
  <c r="E1469" i="20"/>
  <c r="E1470" i="20"/>
  <c r="E1471" i="20"/>
  <c r="E1472" i="20"/>
  <c r="E1473" i="20"/>
  <c r="E1474" i="20"/>
  <c r="E1475" i="20"/>
  <c r="E1476" i="20"/>
  <c r="E1477" i="20"/>
  <c r="E1478" i="20"/>
  <c r="E1479" i="20"/>
  <c r="E1480" i="20"/>
  <c r="E1481" i="20"/>
  <c r="E1482" i="20"/>
  <c r="E1483" i="20"/>
  <c r="E1484" i="20"/>
  <c r="E1485" i="20"/>
  <c r="E1486" i="20"/>
  <c r="E1487" i="20"/>
  <c r="E1488" i="20"/>
  <c r="E1489" i="20"/>
  <c r="E1490" i="20"/>
  <c r="E1491" i="20"/>
  <c r="E1492" i="20"/>
  <c r="E1493" i="20"/>
  <c r="E1494" i="20"/>
  <c r="E1495" i="20"/>
  <c r="E1496" i="20"/>
  <c r="E1497" i="20"/>
  <c r="E1498" i="20"/>
  <c r="E1499" i="20"/>
  <c r="E1500" i="20"/>
  <c r="E1501" i="20"/>
  <c r="E1502" i="20"/>
  <c r="E1503" i="20"/>
  <c r="E1504" i="20"/>
  <c r="E1505" i="20"/>
  <c r="E1506" i="20"/>
  <c r="E1507" i="20"/>
  <c r="E1508" i="20"/>
  <c r="E1509" i="20"/>
  <c r="E1510" i="20"/>
  <c r="E1511" i="20"/>
  <c r="E1512" i="20"/>
  <c r="E1513" i="20"/>
  <c r="E1514" i="20"/>
  <c r="E1515" i="20"/>
  <c r="E1516" i="20"/>
  <c r="E1517" i="20"/>
  <c r="E1518" i="20"/>
  <c r="E1519" i="20"/>
  <c r="E1520" i="20"/>
  <c r="E1521" i="20"/>
  <c r="E1522" i="20"/>
  <c r="E1523" i="20"/>
  <c r="E1524" i="20"/>
  <c r="E1525" i="20"/>
  <c r="E1526" i="20"/>
  <c r="E1527" i="20"/>
  <c r="E1528" i="20"/>
  <c r="E1529" i="20"/>
  <c r="E1530" i="20"/>
  <c r="E1531" i="20"/>
  <c r="E1532" i="20"/>
  <c r="E1533" i="20"/>
  <c r="E1534" i="20"/>
  <c r="E1535" i="20"/>
  <c r="E1536" i="20"/>
  <c r="E1537" i="20"/>
  <c r="E1538" i="20"/>
  <c r="E1539" i="20"/>
  <c r="E1540" i="20"/>
  <c r="E1541" i="20"/>
  <c r="E1542" i="20"/>
  <c r="E1543" i="20"/>
  <c r="E1544" i="20"/>
  <c r="E1545" i="20"/>
  <c r="E1546" i="20"/>
  <c r="E1547" i="20"/>
  <c r="E1548" i="20"/>
  <c r="E1549" i="20"/>
  <c r="E1550" i="20"/>
  <c r="E1551" i="20"/>
  <c r="E1552" i="20"/>
  <c r="E1553" i="20"/>
  <c r="E1554" i="20"/>
  <c r="E1555" i="20"/>
  <c r="E1556" i="20"/>
  <c r="E1557" i="20"/>
  <c r="E1558" i="20"/>
  <c r="E1559" i="20"/>
  <c r="E1560" i="20"/>
  <c r="E1561" i="20"/>
  <c r="E1562" i="20"/>
  <c r="E1563" i="20"/>
  <c r="E1564" i="20"/>
  <c r="E1565" i="20"/>
  <c r="E1566" i="20"/>
  <c r="E1567" i="20"/>
  <c r="E1568" i="20"/>
  <c r="E1569" i="20"/>
  <c r="E1570" i="20"/>
  <c r="E1571" i="20"/>
  <c r="E1572" i="20"/>
  <c r="E1573" i="20"/>
  <c r="E1574" i="20"/>
  <c r="E1575" i="20"/>
  <c r="E1576" i="20"/>
  <c r="E1577" i="20"/>
  <c r="E1578" i="20"/>
  <c r="E1579" i="20"/>
  <c r="E1580" i="20"/>
  <c r="E1581" i="20"/>
  <c r="E1582" i="20"/>
  <c r="E1583" i="20"/>
  <c r="E1584" i="20"/>
  <c r="E1585" i="20"/>
  <c r="E1586" i="20"/>
  <c r="E1587" i="20"/>
  <c r="E1588" i="20"/>
  <c r="E1589" i="20"/>
  <c r="E1590" i="20"/>
  <c r="E1591" i="20"/>
  <c r="E1592" i="20"/>
  <c r="E1593" i="20"/>
  <c r="E1594" i="20"/>
  <c r="E1595" i="20"/>
  <c r="E1596" i="20"/>
  <c r="E1597" i="20"/>
  <c r="E1598" i="20"/>
  <c r="E1599" i="20"/>
  <c r="E1600" i="20"/>
  <c r="E1601" i="20"/>
  <c r="E1602" i="20"/>
  <c r="E1603" i="20"/>
  <c r="E1604" i="20"/>
  <c r="E1605" i="20"/>
  <c r="E1606" i="20"/>
  <c r="E1607" i="20"/>
  <c r="E1608" i="20"/>
  <c r="E1609" i="20"/>
  <c r="E1610" i="20"/>
  <c r="E1611" i="20"/>
  <c r="E1612" i="20"/>
  <c r="E1613" i="20"/>
  <c r="E1614" i="20"/>
  <c r="E1615" i="20"/>
  <c r="E1616" i="20"/>
  <c r="E1617" i="20"/>
  <c r="E1618" i="20"/>
  <c r="E1619" i="20"/>
  <c r="E1620" i="20"/>
  <c r="E1621" i="20"/>
  <c r="E1622" i="20"/>
  <c r="E1623" i="20"/>
  <c r="E1624" i="20"/>
  <c r="E1625" i="20"/>
  <c r="E1626" i="20"/>
  <c r="E1627" i="20"/>
  <c r="E1628" i="20"/>
  <c r="E1629" i="20"/>
  <c r="E1630" i="20"/>
  <c r="E1631" i="20"/>
  <c r="E1632" i="20"/>
  <c r="E1633" i="20"/>
  <c r="E1634" i="20"/>
  <c r="E1635" i="20"/>
  <c r="E1636" i="20"/>
  <c r="E1637" i="20"/>
  <c r="E1638" i="20"/>
  <c r="E1639" i="20"/>
  <c r="E1640" i="20"/>
  <c r="E1641" i="20"/>
  <c r="E1642" i="20"/>
  <c r="E1643" i="20"/>
  <c r="E1644" i="20"/>
  <c r="E1645" i="20"/>
  <c r="E1646" i="20"/>
  <c r="E1647" i="20"/>
  <c r="E1648" i="20"/>
  <c r="E1649" i="20"/>
  <c r="E1650" i="20"/>
  <c r="E1651" i="20"/>
  <c r="E1652" i="20"/>
  <c r="E1653" i="20"/>
  <c r="E1654" i="20"/>
  <c r="E1655" i="20"/>
  <c r="E1656" i="20"/>
  <c r="E1657" i="20"/>
  <c r="E1658" i="20"/>
  <c r="E1659" i="20"/>
  <c r="E1660" i="20"/>
  <c r="E1661" i="20"/>
  <c r="E1662" i="20"/>
  <c r="E1663" i="20"/>
  <c r="E1664" i="20"/>
  <c r="E1665" i="20"/>
  <c r="E1666" i="20"/>
  <c r="E1667" i="20"/>
  <c r="E1668" i="20"/>
  <c r="E1669" i="20"/>
  <c r="E1670" i="20"/>
  <c r="E1671" i="20"/>
  <c r="E1672" i="20"/>
  <c r="E1673" i="20"/>
  <c r="E1674" i="20"/>
  <c r="E1675" i="20"/>
  <c r="E1676" i="20"/>
  <c r="E1677" i="20"/>
  <c r="E1678" i="20"/>
  <c r="E1679" i="20"/>
  <c r="E1680" i="20"/>
  <c r="E1681" i="20"/>
  <c r="E1682" i="20"/>
  <c r="E1683" i="20"/>
  <c r="E1684" i="20"/>
  <c r="E1685" i="20"/>
  <c r="E1686" i="20"/>
  <c r="E1687" i="20"/>
  <c r="E1688" i="20"/>
  <c r="E1689" i="20"/>
  <c r="E1690" i="20"/>
  <c r="E1691" i="20"/>
  <c r="E1692" i="20"/>
  <c r="E1693" i="20"/>
  <c r="E1694" i="20"/>
  <c r="E1695" i="20"/>
  <c r="E1696" i="20"/>
  <c r="E1697" i="20"/>
  <c r="E1698" i="20"/>
  <c r="E1699" i="20"/>
  <c r="E1700" i="20"/>
  <c r="E1701" i="20"/>
  <c r="E1702" i="20"/>
  <c r="E1703" i="20"/>
  <c r="E1704" i="20"/>
  <c r="E1705" i="20"/>
  <c r="E1706" i="20"/>
  <c r="E1707" i="20"/>
  <c r="E1708" i="20"/>
  <c r="E1709" i="20"/>
  <c r="E1710" i="20"/>
  <c r="E1711" i="20"/>
  <c r="E1712" i="20"/>
  <c r="E1713" i="20"/>
  <c r="E1714" i="20"/>
  <c r="E1715" i="20"/>
  <c r="E1716" i="20"/>
  <c r="E1717" i="20"/>
  <c r="E1718" i="20"/>
  <c r="E1719" i="20"/>
  <c r="E1720" i="20"/>
  <c r="E1721" i="20"/>
  <c r="E1722" i="20"/>
  <c r="E1723" i="20"/>
  <c r="E1724" i="20"/>
  <c r="E1725" i="20"/>
  <c r="E1726" i="20"/>
  <c r="E1727" i="20"/>
  <c r="E1728" i="20"/>
  <c r="E1729" i="20"/>
  <c r="E1730" i="20"/>
  <c r="E1731" i="20"/>
  <c r="E1732" i="20"/>
  <c r="E1733" i="20"/>
  <c r="E1734" i="20"/>
  <c r="E1735" i="20"/>
  <c r="E1736" i="20"/>
  <c r="E1737" i="20"/>
  <c r="E1738" i="20"/>
  <c r="E1739" i="20"/>
  <c r="E1740" i="20"/>
  <c r="E1741" i="20"/>
  <c r="E1742" i="20"/>
  <c r="E1743" i="20"/>
  <c r="E1744" i="20"/>
  <c r="E1745" i="20"/>
  <c r="E1746" i="20"/>
  <c r="E1747" i="20"/>
  <c r="E1748" i="20"/>
  <c r="E1749" i="20"/>
  <c r="E1750" i="20"/>
  <c r="E1751" i="20"/>
  <c r="E1752" i="20"/>
  <c r="E1753" i="20"/>
  <c r="E1754" i="20"/>
  <c r="E1755" i="20"/>
  <c r="E1756" i="20"/>
  <c r="E1757" i="20"/>
  <c r="E1758" i="20"/>
  <c r="E1759" i="20"/>
  <c r="E1760" i="20"/>
  <c r="E1761" i="20"/>
  <c r="E1762" i="20"/>
  <c r="E1763" i="20"/>
  <c r="E1764" i="20"/>
  <c r="E1765" i="20"/>
  <c r="E1766" i="20"/>
  <c r="E1767" i="20"/>
  <c r="E1768" i="20"/>
  <c r="E1769" i="20"/>
  <c r="E1770" i="20"/>
  <c r="E1771" i="20"/>
  <c r="E1772" i="20"/>
  <c r="E1773" i="20"/>
  <c r="E1774" i="20"/>
  <c r="E1775" i="20"/>
  <c r="E1776" i="20"/>
  <c r="E1777" i="20"/>
  <c r="E1778" i="20"/>
  <c r="E1779" i="20"/>
  <c r="E1780" i="20"/>
  <c r="E1781" i="20"/>
  <c r="E1782" i="20"/>
  <c r="E1783" i="20"/>
  <c r="E1784" i="20"/>
  <c r="E1785" i="20"/>
  <c r="E1786" i="20"/>
  <c r="E1787" i="20"/>
  <c r="E1788" i="20"/>
  <c r="E1789" i="20"/>
  <c r="E1790" i="20"/>
  <c r="E1791" i="20"/>
  <c r="E1792" i="20"/>
  <c r="E1793" i="20"/>
  <c r="E1794" i="20"/>
  <c r="E1795" i="20"/>
  <c r="E1796" i="20"/>
  <c r="E1797" i="20"/>
  <c r="E1798" i="20"/>
  <c r="E1799" i="20"/>
  <c r="E1800" i="20"/>
  <c r="E1801" i="20"/>
  <c r="E1802" i="20"/>
  <c r="E1803" i="20"/>
  <c r="E1804" i="20"/>
  <c r="E1805" i="20"/>
  <c r="E1806" i="20"/>
  <c r="E1807" i="20"/>
  <c r="E1808" i="20"/>
  <c r="E1809" i="20"/>
  <c r="E1810" i="20"/>
  <c r="E1811" i="20"/>
  <c r="E1812" i="20"/>
  <c r="E1813" i="20"/>
  <c r="E1814" i="20"/>
  <c r="E1815" i="20"/>
  <c r="E1816" i="20"/>
  <c r="E1817" i="20"/>
  <c r="E1818" i="20"/>
  <c r="E1819" i="20"/>
  <c r="E1820" i="20"/>
  <c r="E1821" i="20"/>
  <c r="E1822" i="20"/>
  <c r="E1823" i="20"/>
  <c r="E1824" i="20"/>
  <c r="E1825" i="20"/>
  <c r="E1826" i="20"/>
  <c r="E1827" i="20"/>
  <c r="E1828" i="20"/>
  <c r="E1829" i="20"/>
  <c r="E1830" i="20"/>
  <c r="E1831" i="20"/>
  <c r="E1832" i="20"/>
  <c r="E1833" i="20"/>
  <c r="E1834" i="20"/>
  <c r="E1835" i="20"/>
  <c r="E1836" i="20"/>
  <c r="E1837" i="20"/>
  <c r="E1838" i="20"/>
  <c r="E1839" i="20"/>
  <c r="E1840" i="20"/>
  <c r="E1841" i="20"/>
  <c r="E1842" i="20"/>
  <c r="E1843" i="20"/>
  <c r="E1844" i="20"/>
  <c r="E1845" i="20"/>
  <c r="E1846" i="20"/>
  <c r="E1847" i="20"/>
  <c r="E1848" i="20"/>
  <c r="E1849" i="20"/>
  <c r="E1850" i="20"/>
  <c r="E1851" i="20"/>
  <c r="E1852" i="20"/>
  <c r="E1853" i="20"/>
  <c r="E1854" i="20"/>
  <c r="E1855" i="20"/>
  <c r="E1856" i="20"/>
  <c r="E1857" i="20"/>
  <c r="E1858" i="20"/>
  <c r="E1859" i="20"/>
  <c r="E1860" i="20"/>
  <c r="E1861" i="20"/>
  <c r="E1862" i="20"/>
  <c r="E1863" i="20"/>
  <c r="E1864" i="20"/>
  <c r="E1865" i="20"/>
  <c r="E1866" i="20"/>
  <c r="E1867" i="20"/>
  <c r="E1868" i="20"/>
  <c r="E1869" i="20"/>
  <c r="E1870" i="20"/>
  <c r="E1871" i="20"/>
  <c r="E1872" i="20"/>
  <c r="E1873" i="20"/>
  <c r="E1874" i="20"/>
  <c r="E1875" i="20"/>
  <c r="E1876" i="20"/>
  <c r="E1877" i="20"/>
  <c r="E1878" i="20"/>
  <c r="E1879" i="20"/>
  <c r="E1880" i="20"/>
  <c r="E1881" i="20"/>
  <c r="E1882" i="20"/>
  <c r="E1883" i="20"/>
  <c r="E1884" i="20"/>
  <c r="E1885" i="20"/>
  <c r="E1886" i="20"/>
  <c r="E1887" i="20"/>
  <c r="E1888" i="20"/>
  <c r="E1889" i="20"/>
  <c r="E1890" i="20"/>
  <c r="E1891" i="20"/>
  <c r="E1892" i="20"/>
  <c r="E1893" i="20"/>
  <c r="E1894" i="20"/>
  <c r="E1895" i="20"/>
  <c r="E1896" i="20"/>
  <c r="E1897" i="20"/>
  <c r="E1898" i="20"/>
  <c r="E1899" i="20"/>
  <c r="E1900" i="20"/>
  <c r="E1901" i="20"/>
  <c r="E1902" i="20"/>
  <c r="E1903" i="20"/>
  <c r="E1904" i="20"/>
  <c r="E1905" i="20"/>
  <c r="E1906" i="20"/>
  <c r="E1907" i="20"/>
  <c r="E1908" i="20"/>
  <c r="E1909" i="20"/>
  <c r="E1910" i="20"/>
  <c r="E1911" i="20"/>
  <c r="E1912" i="20"/>
  <c r="E1913" i="20"/>
  <c r="E1914" i="20"/>
  <c r="E1915" i="20"/>
  <c r="E1916" i="20"/>
  <c r="E1917" i="20"/>
  <c r="E1918" i="20"/>
  <c r="E1919" i="20"/>
  <c r="E1920" i="20"/>
  <c r="E1921" i="20"/>
  <c r="E1922" i="20"/>
  <c r="E1923" i="20"/>
  <c r="E1924" i="20"/>
  <c r="E1925" i="20"/>
  <c r="E1926" i="20"/>
  <c r="E1927" i="20"/>
  <c r="E1928" i="20"/>
  <c r="E1929" i="20"/>
  <c r="E1930" i="20"/>
  <c r="E1931" i="20"/>
  <c r="E1932" i="20"/>
  <c r="E1933" i="20"/>
  <c r="E1934" i="20"/>
  <c r="E1935" i="20"/>
  <c r="E1936" i="20"/>
  <c r="E1937" i="20"/>
  <c r="E1938" i="20"/>
  <c r="E1939" i="20"/>
  <c r="E1940" i="20"/>
  <c r="E1941" i="20"/>
  <c r="E1942" i="20"/>
  <c r="E1943" i="20"/>
  <c r="E1944" i="20"/>
  <c r="E1945" i="20"/>
  <c r="E1946" i="20"/>
  <c r="E1947" i="20"/>
  <c r="E1948" i="20"/>
  <c r="E1949" i="20"/>
  <c r="E1950" i="20"/>
  <c r="E1951" i="20"/>
  <c r="E1952" i="20"/>
  <c r="E1953" i="20"/>
  <c r="E1954" i="20"/>
  <c r="E1955" i="20"/>
  <c r="E1956" i="20"/>
  <c r="E1957" i="20"/>
  <c r="E1958" i="20"/>
  <c r="E1959" i="20"/>
  <c r="E1960" i="20"/>
  <c r="E1961" i="20"/>
  <c r="E1962" i="20"/>
  <c r="E1963" i="20"/>
  <c r="E1964" i="20"/>
  <c r="E1965" i="20"/>
  <c r="E1966" i="20"/>
  <c r="E1967" i="20"/>
  <c r="E1968" i="20"/>
  <c r="E1969" i="20"/>
  <c r="E1970" i="20"/>
  <c r="E1971" i="20"/>
  <c r="E1972" i="20"/>
  <c r="E1973" i="20"/>
  <c r="E1974" i="20"/>
  <c r="E1975" i="20"/>
  <c r="E1976" i="20"/>
  <c r="E1977" i="20"/>
  <c r="E1978" i="20"/>
  <c r="E1979" i="20"/>
  <c r="E1980" i="20"/>
  <c r="E1981" i="20"/>
  <c r="E1982" i="20"/>
  <c r="E1983" i="20"/>
  <c r="E1984" i="20"/>
  <c r="E1985" i="20"/>
  <c r="E1986" i="20"/>
  <c r="E1987" i="20"/>
  <c r="E1988" i="20"/>
  <c r="E1989" i="20"/>
  <c r="E1990" i="20"/>
  <c r="E1991" i="20"/>
  <c r="E1992" i="20"/>
  <c r="E1993" i="20"/>
  <c r="E1994" i="20"/>
  <c r="E1995" i="20"/>
  <c r="E1996" i="20"/>
  <c r="E1997" i="20"/>
  <c r="E1998" i="20"/>
  <c r="E1999" i="20"/>
  <c r="E2000" i="20"/>
  <c r="E2001" i="20"/>
  <c r="E2002" i="20"/>
  <c r="E2003" i="20"/>
  <c r="E2004" i="20"/>
  <c r="E2005" i="20"/>
  <c r="E2006" i="20"/>
  <c r="E2007" i="20"/>
  <c r="E2008" i="20"/>
  <c r="E2009" i="20"/>
  <c r="E2010" i="20"/>
  <c r="E2011" i="20"/>
  <c r="E2012" i="20"/>
  <c r="E2013" i="20"/>
  <c r="E2014" i="20"/>
  <c r="E2015" i="20"/>
  <c r="E2016" i="20"/>
  <c r="E2017" i="20"/>
  <c r="E2018" i="20"/>
  <c r="E2019" i="20"/>
  <c r="E2020" i="20"/>
  <c r="E2021" i="20"/>
  <c r="E2022" i="20"/>
  <c r="E2023" i="20"/>
  <c r="E2024" i="20"/>
  <c r="E2025" i="20"/>
  <c r="E2026" i="20"/>
  <c r="E2027" i="20"/>
  <c r="E2028" i="20"/>
  <c r="E2029" i="20"/>
  <c r="E2030" i="20"/>
  <c r="E2031" i="20"/>
  <c r="E2032" i="20"/>
  <c r="E2033" i="20"/>
  <c r="E2034" i="20"/>
  <c r="E2035" i="20"/>
  <c r="E2036" i="20"/>
  <c r="E2037" i="20"/>
  <c r="E2038" i="20"/>
  <c r="E2039" i="20"/>
  <c r="E2040" i="20"/>
  <c r="E2041" i="20"/>
  <c r="E2042" i="20"/>
  <c r="E2043" i="20"/>
  <c r="E2044" i="20"/>
  <c r="E2045" i="20"/>
  <c r="E2046" i="20"/>
  <c r="E2047" i="20"/>
  <c r="E2048" i="20"/>
  <c r="E2049" i="20"/>
  <c r="E2050" i="20"/>
  <c r="E2051" i="20"/>
  <c r="E2052" i="20"/>
  <c r="E2053" i="20"/>
  <c r="E2054" i="20"/>
  <c r="E2055" i="20"/>
  <c r="E2056" i="20"/>
  <c r="E2057" i="20"/>
  <c r="E2058" i="20"/>
  <c r="E2059" i="20"/>
  <c r="E2060" i="20"/>
  <c r="E2061" i="20"/>
  <c r="E2062" i="20"/>
  <c r="E2063" i="20"/>
  <c r="E2064" i="20"/>
  <c r="E2065" i="20"/>
  <c r="E2066" i="20"/>
  <c r="E2067" i="20"/>
  <c r="E2068" i="20"/>
  <c r="E2069" i="20"/>
  <c r="E2070" i="20"/>
  <c r="E2071" i="20"/>
  <c r="E2072" i="20"/>
  <c r="E2073" i="20"/>
  <c r="E2074" i="20"/>
  <c r="E2075" i="20"/>
  <c r="E2076" i="20"/>
  <c r="E2077" i="20"/>
  <c r="E2078" i="20"/>
  <c r="E2079" i="20"/>
  <c r="E2080" i="20"/>
  <c r="E2081" i="20"/>
  <c r="E2082" i="20"/>
  <c r="E2083" i="20"/>
  <c r="E2084" i="20"/>
  <c r="E2085" i="20"/>
  <c r="E2086" i="20"/>
  <c r="E2087" i="20"/>
  <c r="E2088" i="20"/>
  <c r="E2089" i="20"/>
  <c r="E2090" i="20"/>
  <c r="E2091" i="20"/>
  <c r="E2092" i="20"/>
  <c r="E2093" i="20"/>
  <c r="E2094" i="20"/>
  <c r="E2095" i="20"/>
  <c r="E2096" i="20"/>
  <c r="E2097" i="20"/>
  <c r="E2098" i="20"/>
  <c r="E2099" i="20"/>
  <c r="E2100" i="20"/>
  <c r="E2101" i="20"/>
  <c r="E2102" i="20"/>
  <c r="E2103" i="20"/>
  <c r="E2104" i="20"/>
  <c r="E2105" i="20"/>
  <c r="E2106" i="20"/>
  <c r="E2107" i="20"/>
  <c r="E2108" i="20"/>
  <c r="E2109" i="20"/>
  <c r="E2110" i="20"/>
  <c r="E2111" i="20"/>
  <c r="E2112" i="20"/>
  <c r="E2113" i="20"/>
  <c r="E2114" i="20"/>
  <c r="E2115" i="20"/>
  <c r="E2116" i="20"/>
  <c r="E2117" i="20"/>
  <c r="E2118" i="20"/>
  <c r="E2119" i="20"/>
  <c r="E2120" i="20"/>
  <c r="E2121" i="20"/>
  <c r="E2122" i="20"/>
  <c r="E2123" i="20"/>
  <c r="E2124" i="20"/>
  <c r="E2125" i="20"/>
  <c r="E2126" i="20"/>
  <c r="E2127" i="20"/>
  <c r="E2128" i="20"/>
  <c r="E2129" i="20"/>
  <c r="E2130" i="20"/>
  <c r="E2131" i="20"/>
  <c r="E2132" i="20"/>
  <c r="E2133" i="20"/>
  <c r="E2134" i="20"/>
  <c r="E2135" i="20"/>
  <c r="E2136" i="20"/>
  <c r="E2137" i="20"/>
  <c r="E2138" i="20"/>
  <c r="E2139" i="20"/>
  <c r="E2140" i="20"/>
  <c r="E2141" i="20"/>
  <c r="E2142" i="20"/>
  <c r="E2143" i="20"/>
  <c r="E2144" i="20"/>
  <c r="E2145" i="20"/>
  <c r="E2146" i="20"/>
  <c r="E2147" i="20"/>
  <c r="E2148" i="20"/>
  <c r="E2149" i="20"/>
  <c r="E2150" i="20"/>
  <c r="E2151" i="20"/>
  <c r="E2152" i="20"/>
  <c r="E2153" i="20"/>
  <c r="E2154" i="20"/>
  <c r="E2155" i="20"/>
  <c r="E2156" i="20"/>
  <c r="E2157" i="20"/>
  <c r="E2158" i="20"/>
  <c r="E2159" i="20"/>
  <c r="E2160" i="20"/>
  <c r="E2161" i="20"/>
  <c r="E2162" i="20"/>
  <c r="E2163" i="20"/>
  <c r="E2164" i="20"/>
  <c r="E2165" i="20"/>
  <c r="E2166" i="20"/>
  <c r="E2167" i="20"/>
  <c r="E2168" i="20"/>
  <c r="E2169" i="20"/>
  <c r="E2170" i="20"/>
  <c r="E2171" i="20"/>
  <c r="E2172" i="20"/>
  <c r="E2173" i="20"/>
  <c r="E2174" i="20"/>
  <c r="E2175" i="20"/>
  <c r="E2176" i="20"/>
  <c r="E2177" i="20"/>
  <c r="E2178" i="20"/>
  <c r="E2179" i="20"/>
  <c r="E2180" i="20"/>
  <c r="E2181" i="20"/>
  <c r="E2182" i="20"/>
  <c r="E2183" i="20"/>
  <c r="E2184" i="20"/>
  <c r="E2185" i="20"/>
  <c r="E2186" i="20"/>
  <c r="E2187" i="20"/>
  <c r="E2188" i="20"/>
  <c r="E2189" i="20"/>
  <c r="E2190" i="20"/>
  <c r="E2191" i="20"/>
  <c r="E2192" i="20"/>
  <c r="E2193" i="20"/>
  <c r="E2194" i="20"/>
  <c r="E2195" i="20"/>
  <c r="E2196" i="20"/>
  <c r="E2197" i="20"/>
  <c r="E2198" i="20"/>
  <c r="E2199" i="20"/>
  <c r="E2200" i="20"/>
  <c r="E2201" i="20"/>
  <c r="E2202" i="20"/>
  <c r="E2203" i="20"/>
  <c r="E2204" i="20"/>
  <c r="E2205" i="20"/>
  <c r="E2206" i="20"/>
  <c r="E2207" i="20"/>
  <c r="E2208" i="20"/>
  <c r="E2209" i="20"/>
  <c r="E2210" i="20"/>
  <c r="E2211" i="20"/>
  <c r="E2212" i="20"/>
  <c r="E2213" i="20"/>
  <c r="E2214" i="20"/>
  <c r="E2215" i="20"/>
  <c r="E2216" i="20"/>
  <c r="E2217" i="20"/>
  <c r="E2218" i="20"/>
  <c r="E2219" i="20"/>
  <c r="E2220" i="20"/>
  <c r="E2221" i="20"/>
  <c r="E2222" i="20"/>
  <c r="E2223" i="20"/>
  <c r="E2224" i="20"/>
  <c r="E2225" i="20"/>
  <c r="E2226" i="20"/>
  <c r="E2227" i="20"/>
  <c r="E2228" i="20"/>
  <c r="E2229" i="20"/>
  <c r="E2230" i="20"/>
  <c r="E2231" i="20"/>
  <c r="E2232" i="20"/>
  <c r="E2233" i="20"/>
  <c r="E2234" i="20"/>
  <c r="E2235" i="20"/>
  <c r="E2236" i="20"/>
  <c r="E2237" i="20"/>
  <c r="E2238" i="20"/>
  <c r="E2239" i="20"/>
  <c r="E2240" i="20"/>
  <c r="E2241" i="20"/>
  <c r="E2242" i="20"/>
  <c r="E2243" i="20"/>
  <c r="E2244" i="20"/>
  <c r="E2245" i="20"/>
  <c r="E2246" i="20"/>
  <c r="E2247" i="20"/>
  <c r="E2248" i="20"/>
  <c r="E2249" i="20"/>
  <c r="E2250" i="20"/>
  <c r="E2251" i="20"/>
  <c r="E2252" i="20"/>
  <c r="E2253" i="20"/>
  <c r="E2254" i="20"/>
  <c r="E2255" i="20"/>
  <c r="E2256" i="20"/>
  <c r="E2257" i="20"/>
  <c r="E2258" i="20"/>
  <c r="E2259" i="20"/>
  <c r="E2260" i="20"/>
  <c r="E2261" i="20"/>
  <c r="E2262" i="20"/>
  <c r="E2263" i="20"/>
  <c r="E2264" i="20"/>
  <c r="E2265" i="20"/>
  <c r="E2266" i="20"/>
  <c r="E2267" i="20"/>
  <c r="E2268" i="20"/>
  <c r="E2269" i="20"/>
  <c r="E2270" i="20"/>
  <c r="E2271" i="20"/>
  <c r="E2272" i="20"/>
  <c r="E2273" i="20"/>
  <c r="E2274" i="20"/>
  <c r="E2275" i="20"/>
  <c r="E2276" i="20"/>
  <c r="E2277" i="20"/>
  <c r="E2278" i="20"/>
  <c r="E2279" i="20"/>
  <c r="E2280" i="20"/>
  <c r="E2281" i="20"/>
  <c r="E2282" i="20"/>
  <c r="E2283" i="20"/>
  <c r="E2284" i="20"/>
  <c r="E2285" i="20"/>
  <c r="E2286" i="20"/>
  <c r="E2287" i="20"/>
  <c r="E2288" i="20"/>
  <c r="E2289" i="20"/>
  <c r="E2290" i="20"/>
  <c r="E2291" i="20"/>
  <c r="E2292" i="20"/>
  <c r="E2293" i="20"/>
  <c r="E2294" i="20"/>
  <c r="E2295" i="20"/>
  <c r="E2296" i="20"/>
  <c r="E2297" i="20"/>
  <c r="E2298" i="20"/>
  <c r="E2299" i="20"/>
  <c r="E2300" i="20"/>
  <c r="E2301" i="20"/>
  <c r="E2302" i="20"/>
  <c r="E2303" i="20"/>
  <c r="E2304" i="20"/>
  <c r="E2305" i="20"/>
  <c r="E2306" i="20"/>
  <c r="E2307" i="20"/>
  <c r="E2308" i="20"/>
  <c r="E2309" i="20"/>
  <c r="E2310" i="20"/>
  <c r="E2311" i="20"/>
  <c r="E2312" i="20"/>
  <c r="E2313" i="20"/>
  <c r="E2314" i="20"/>
  <c r="E2315" i="20"/>
  <c r="E2316" i="20"/>
  <c r="E2317" i="20"/>
  <c r="E2318" i="20"/>
  <c r="E2319" i="20"/>
  <c r="E2320" i="20"/>
  <c r="E2321" i="20"/>
  <c r="E2322" i="20"/>
  <c r="E2323" i="20"/>
  <c r="E2324" i="20"/>
  <c r="E2325" i="20"/>
  <c r="E2326" i="20"/>
  <c r="E2327" i="20"/>
  <c r="E2328" i="20"/>
  <c r="E2329" i="20"/>
  <c r="E2330" i="20"/>
  <c r="E2331" i="20"/>
  <c r="E2332" i="20"/>
  <c r="E2333" i="20"/>
  <c r="E2334" i="20"/>
  <c r="E2335" i="20"/>
  <c r="E2336" i="20"/>
  <c r="E2337" i="20"/>
  <c r="E2338" i="20"/>
  <c r="E2339" i="20"/>
  <c r="E2340" i="20"/>
  <c r="E2341" i="20"/>
  <c r="E2342" i="20"/>
  <c r="E2343" i="20"/>
  <c r="E2344" i="20"/>
  <c r="E2345" i="20"/>
  <c r="E2346" i="20"/>
  <c r="E2347" i="20"/>
  <c r="E2348" i="20"/>
  <c r="E2349" i="20"/>
  <c r="E2350" i="20"/>
  <c r="E2351" i="20"/>
  <c r="E2352" i="20"/>
  <c r="E2353" i="20"/>
  <c r="E2354" i="20"/>
  <c r="E2355" i="20"/>
  <c r="E2356" i="20"/>
  <c r="E2357" i="20"/>
  <c r="E2358" i="20"/>
  <c r="E2359" i="20"/>
  <c r="E2360" i="20"/>
  <c r="E2361" i="20"/>
  <c r="E2362" i="20"/>
  <c r="E2363" i="20"/>
  <c r="E2364" i="20"/>
  <c r="E2365" i="20"/>
  <c r="E2366" i="20"/>
  <c r="E2367" i="20"/>
  <c r="E2368" i="20"/>
  <c r="E2369" i="20"/>
  <c r="E2370" i="20"/>
  <c r="E2371" i="20"/>
  <c r="E2372" i="20"/>
  <c r="E2373" i="20"/>
  <c r="E2374" i="20"/>
  <c r="E2375" i="20"/>
  <c r="E2376" i="20"/>
  <c r="E2377" i="20"/>
  <c r="E2378" i="20"/>
  <c r="E2379" i="20"/>
  <c r="E2380" i="20"/>
  <c r="E2381" i="20"/>
  <c r="E2382" i="20"/>
  <c r="E2383" i="20"/>
  <c r="E2384" i="20"/>
  <c r="E2385" i="20"/>
  <c r="E2386" i="20"/>
  <c r="E2387" i="20"/>
  <c r="E2388" i="20"/>
  <c r="E2389" i="20"/>
  <c r="E2390" i="20"/>
  <c r="E2391" i="20"/>
  <c r="E2392" i="20"/>
  <c r="E2393" i="20"/>
  <c r="E2394" i="20"/>
  <c r="E2395" i="20"/>
  <c r="E2396" i="20"/>
  <c r="E2397" i="20"/>
  <c r="E2398" i="20"/>
  <c r="E2399" i="20"/>
  <c r="E2400" i="20"/>
  <c r="E2401" i="20"/>
  <c r="E2402" i="20"/>
  <c r="E2403" i="20"/>
  <c r="E2404" i="20"/>
  <c r="E2405" i="20"/>
  <c r="E2406" i="20"/>
  <c r="E2407" i="20"/>
  <c r="E2408" i="20"/>
  <c r="E2409" i="20"/>
  <c r="E2410" i="20"/>
  <c r="E2411" i="20"/>
  <c r="E2412" i="20"/>
  <c r="E2413" i="20"/>
  <c r="E2414" i="20"/>
  <c r="E2415" i="20"/>
  <c r="E2416" i="20"/>
  <c r="E2417" i="20"/>
  <c r="E2418" i="20"/>
  <c r="E2419" i="20"/>
  <c r="E2420" i="20"/>
  <c r="E2421" i="20"/>
  <c r="E2422" i="20"/>
  <c r="E2423" i="20"/>
  <c r="E2424" i="20"/>
  <c r="E2425" i="20"/>
  <c r="E2426" i="20"/>
  <c r="E2427" i="20"/>
  <c r="E2428" i="20"/>
  <c r="E2429" i="20"/>
  <c r="E2430" i="20"/>
  <c r="E2431" i="20"/>
  <c r="E2432" i="20"/>
  <c r="E2433" i="20"/>
  <c r="E2434" i="20"/>
  <c r="E2435" i="20"/>
  <c r="E2436" i="20"/>
  <c r="E2437" i="20"/>
  <c r="E2438" i="20"/>
  <c r="E2439" i="20"/>
  <c r="E2440" i="20"/>
  <c r="E2441" i="20"/>
  <c r="E2442" i="20"/>
  <c r="E2443" i="20"/>
  <c r="E2444" i="20"/>
  <c r="E2445" i="20"/>
  <c r="E2446" i="20"/>
  <c r="E2447" i="20"/>
  <c r="E2448" i="20"/>
  <c r="E2449" i="20"/>
  <c r="E2450" i="20"/>
  <c r="E2451" i="20"/>
  <c r="E2452" i="20"/>
  <c r="E2453" i="20"/>
  <c r="E2454" i="20"/>
  <c r="E2455" i="20"/>
  <c r="E2456" i="20"/>
  <c r="E2457" i="20"/>
  <c r="E2458" i="20"/>
  <c r="E2459" i="20"/>
  <c r="E2460" i="20"/>
  <c r="E2461" i="20"/>
  <c r="E2462" i="20"/>
  <c r="E2463" i="20"/>
  <c r="E2464" i="20"/>
  <c r="E2465" i="20"/>
  <c r="E2466" i="20"/>
  <c r="E2467" i="20"/>
  <c r="E2468" i="20"/>
  <c r="E2469" i="20"/>
  <c r="E2470" i="20"/>
  <c r="E2471" i="20"/>
  <c r="E2472" i="20"/>
  <c r="E2473" i="20"/>
  <c r="E2474" i="20"/>
  <c r="E2475" i="20"/>
  <c r="E2476" i="20"/>
  <c r="E2477" i="20"/>
  <c r="E2478" i="20"/>
  <c r="E2479" i="20"/>
  <c r="E2480" i="20"/>
  <c r="E2481" i="20"/>
  <c r="E2482" i="20"/>
  <c r="E2483" i="20"/>
  <c r="E2484" i="20"/>
  <c r="E2485" i="20"/>
  <c r="E2486" i="20"/>
  <c r="E2487" i="20"/>
  <c r="E2488" i="20"/>
  <c r="E2489" i="20"/>
  <c r="E2490" i="20"/>
  <c r="E2491" i="20"/>
  <c r="E2492" i="20"/>
  <c r="E2493" i="20"/>
  <c r="E2494" i="20"/>
  <c r="E2495" i="20"/>
  <c r="E2496" i="20"/>
  <c r="E2497" i="20"/>
  <c r="E2498" i="20"/>
  <c r="E2499" i="20"/>
  <c r="E2500" i="20"/>
  <c r="E2501" i="20"/>
  <c r="E2502" i="20"/>
  <c r="E2503" i="20"/>
  <c r="E2504" i="20"/>
  <c r="E2505" i="20"/>
  <c r="E2506" i="20"/>
  <c r="E2507" i="20"/>
  <c r="E2508" i="20"/>
  <c r="E2509" i="20"/>
  <c r="E2510" i="20"/>
  <c r="E2511" i="20"/>
  <c r="E2512" i="20"/>
  <c r="E2513" i="20"/>
  <c r="E2514" i="20"/>
  <c r="E2515" i="20"/>
  <c r="E2516" i="20"/>
  <c r="E2517" i="20"/>
  <c r="E2518" i="20"/>
  <c r="E2519" i="20"/>
  <c r="E2520" i="20"/>
  <c r="E2521" i="20"/>
  <c r="E2522" i="20"/>
  <c r="E2523" i="20"/>
  <c r="E2524" i="20"/>
  <c r="E2525" i="20"/>
  <c r="E2526" i="20"/>
  <c r="E2527" i="20"/>
  <c r="E2528" i="20"/>
  <c r="E2529" i="20"/>
  <c r="E2530" i="20"/>
  <c r="E2531" i="20"/>
  <c r="E2532" i="20"/>
  <c r="E2533" i="20"/>
  <c r="E2534" i="20"/>
  <c r="E2535" i="20"/>
  <c r="E2536" i="20"/>
  <c r="E2537" i="20"/>
  <c r="E2538" i="20"/>
  <c r="E2539" i="20"/>
  <c r="E2540" i="20"/>
  <c r="E2541" i="20"/>
  <c r="E2542" i="20"/>
  <c r="E2543" i="20"/>
  <c r="E2544" i="20"/>
  <c r="E2545" i="20"/>
  <c r="E2546" i="20"/>
  <c r="E2547" i="20"/>
  <c r="E2548" i="20"/>
  <c r="E2549" i="20"/>
  <c r="E2550" i="20"/>
  <c r="E2551" i="20"/>
  <c r="E2552" i="20"/>
  <c r="E2553" i="20"/>
  <c r="E2554" i="20"/>
  <c r="E2555" i="20"/>
  <c r="E2556" i="20"/>
  <c r="E2557" i="20"/>
  <c r="E2558" i="20"/>
  <c r="E2559" i="20"/>
  <c r="E2560" i="20"/>
  <c r="E2561" i="20"/>
  <c r="E2562" i="20"/>
  <c r="E2563" i="20"/>
  <c r="E2564" i="20"/>
  <c r="E2565" i="20"/>
  <c r="E2566" i="20"/>
  <c r="E2567" i="20"/>
  <c r="E2568" i="20"/>
  <c r="E2569" i="20"/>
  <c r="E2570" i="20"/>
  <c r="E2571" i="20"/>
  <c r="E2572" i="20"/>
  <c r="E2573" i="20"/>
  <c r="E2574" i="20"/>
  <c r="E2575" i="20"/>
  <c r="E2576" i="20"/>
  <c r="E2577" i="20"/>
  <c r="E2578" i="20"/>
  <c r="E2579" i="20"/>
  <c r="E2580" i="20"/>
  <c r="E2581" i="20"/>
  <c r="E2582" i="20"/>
  <c r="E2583" i="20"/>
  <c r="E2584" i="20"/>
  <c r="E2585" i="20"/>
  <c r="E2586" i="20"/>
  <c r="E2587" i="20"/>
  <c r="E2588" i="20"/>
  <c r="E2589" i="20"/>
  <c r="E2590" i="20"/>
  <c r="E2591" i="20"/>
  <c r="E2592" i="20"/>
  <c r="E2593" i="20"/>
  <c r="E2594" i="20"/>
  <c r="E2595" i="20"/>
  <c r="E2596" i="20"/>
  <c r="E2597" i="20"/>
  <c r="E2598" i="20"/>
  <c r="E2599" i="20"/>
  <c r="E2600" i="20"/>
  <c r="E2601" i="20"/>
  <c r="E2602" i="20"/>
  <c r="E2603" i="20"/>
  <c r="E2604" i="20"/>
  <c r="E2605" i="20"/>
  <c r="E2606" i="20"/>
  <c r="E2607" i="20"/>
  <c r="E2608" i="20"/>
  <c r="E2609" i="20"/>
  <c r="E2610" i="20"/>
  <c r="E2611" i="20"/>
  <c r="E2612" i="20"/>
  <c r="E2613" i="20"/>
  <c r="E2614" i="20"/>
  <c r="E2615" i="20"/>
  <c r="E2616" i="20"/>
  <c r="E2617" i="20"/>
  <c r="E2618" i="20"/>
  <c r="E2619" i="20"/>
  <c r="E2620" i="20"/>
  <c r="E2621" i="20"/>
  <c r="E2622" i="20"/>
  <c r="E2623" i="20"/>
  <c r="E2624" i="20"/>
  <c r="E2625" i="20"/>
  <c r="E2626" i="20"/>
  <c r="E2627" i="20"/>
  <c r="E2628" i="20"/>
  <c r="E2629" i="20"/>
  <c r="E2630" i="20"/>
  <c r="E2631" i="20"/>
  <c r="E2632" i="20"/>
  <c r="E2633" i="20"/>
  <c r="E2634" i="20"/>
  <c r="E2635" i="20"/>
  <c r="E2636" i="20"/>
  <c r="E2637" i="20"/>
  <c r="E2638" i="20"/>
  <c r="E2639" i="20"/>
  <c r="E2640" i="20"/>
  <c r="E2641" i="20"/>
  <c r="E2642" i="20"/>
  <c r="E2643" i="20"/>
  <c r="E2644" i="20"/>
  <c r="E2645" i="20"/>
  <c r="E2646" i="20"/>
  <c r="E2647" i="20"/>
  <c r="E2648" i="20"/>
  <c r="E2649" i="20"/>
  <c r="E2650" i="20"/>
  <c r="E2651" i="20"/>
  <c r="E2652" i="20"/>
  <c r="E2653" i="20"/>
  <c r="E2654" i="20"/>
  <c r="E2655" i="20"/>
  <c r="E2656" i="20"/>
  <c r="E2657" i="20"/>
  <c r="E2658" i="20"/>
  <c r="E2659" i="20"/>
  <c r="E2660" i="20"/>
  <c r="E2661" i="20"/>
  <c r="E2662" i="20"/>
  <c r="E2663" i="20"/>
  <c r="E2664" i="20"/>
  <c r="E2665" i="20"/>
  <c r="E2666" i="20"/>
  <c r="E2667" i="20"/>
  <c r="E2668" i="20"/>
  <c r="E2669" i="20"/>
  <c r="E2670" i="20"/>
  <c r="E2671" i="20"/>
  <c r="E2672" i="20"/>
  <c r="E2673" i="20"/>
  <c r="E2674" i="20"/>
  <c r="E2675" i="20"/>
  <c r="E2676" i="20"/>
  <c r="E2677" i="20"/>
  <c r="E2678" i="20"/>
  <c r="E2679" i="20"/>
  <c r="E2680" i="20"/>
  <c r="E2681" i="20"/>
  <c r="E2682" i="20"/>
  <c r="E2683" i="20"/>
  <c r="E2684" i="20"/>
  <c r="E2685" i="20"/>
  <c r="E2686" i="20"/>
  <c r="E2687" i="20"/>
  <c r="E2688" i="20"/>
  <c r="E2689" i="20"/>
  <c r="E2690" i="20"/>
  <c r="E2691" i="20"/>
  <c r="E2692" i="20"/>
  <c r="E2693" i="20"/>
  <c r="E2694" i="20"/>
  <c r="E2695" i="20"/>
  <c r="E2696" i="20"/>
  <c r="E2697" i="20"/>
  <c r="E2698" i="20"/>
  <c r="E2699" i="20"/>
  <c r="E2700" i="20"/>
  <c r="E2701" i="20"/>
  <c r="E2702" i="20"/>
  <c r="E2703" i="20"/>
  <c r="E2704" i="20"/>
  <c r="E2705" i="20"/>
  <c r="E2706" i="20"/>
  <c r="E2707" i="20"/>
  <c r="E2708" i="20"/>
  <c r="E2709" i="20"/>
  <c r="E2710" i="20"/>
  <c r="E2711" i="20"/>
  <c r="E2712" i="20"/>
  <c r="E2713" i="20"/>
  <c r="E2714" i="20"/>
  <c r="E2715" i="20"/>
  <c r="E2716" i="20"/>
  <c r="E2717" i="20"/>
  <c r="E2718" i="20"/>
  <c r="E2719" i="20"/>
  <c r="E2720" i="20"/>
  <c r="E2721" i="20"/>
  <c r="E2722" i="20"/>
  <c r="E2723" i="20"/>
  <c r="E2724" i="20"/>
  <c r="E2725" i="20"/>
  <c r="E2726" i="20"/>
  <c r="E2727" i="20"/>
  <c r="E2728" i="20"/>
  <c r="E2729" i="20"/>
  <c r="E2730" i="20"/>
  <c r="E2731" i="20"/>
  <c r="E2732" i="20"/>
  <c r="E2733" i="20"/>
  <c r="E2734" i="20"/>
  <c r="E2735" i="20"/>
  <c r="E2736" i="20"/>
  <c r="E2737" i="20"/>
  <c r="E2738" i="20"/>
  <c r="E2739" i="20"/>
  <c r="E2740" i="20"/>
  <c r="E2741" i="20"/>
  <c r="E2742" i="20"/>
  <c r="E2743" i="20"/>
  <c r="E2744" i="20"/>
  <c r="E2745" i="20"/>
  <c r="E2746" i="20"/>
  <c r="E2747" i="20"/>
  <c r="E2748" i="20"/>
  <c r="E2749" i="20"/>
  <c r="E2750" i="20"/>
  <c r="E2751" i="20"/>
  <c r="E2752" i="20"/>
  <c r="E2753" i="20"/>
  <c r="E2754" i="20"/>
  <c r="E2755" i="20"/>
  <c r="E2756" i="20"/>
  <c r="E2757" i="20"/>
  <c r="E2758" i="20"/>
  <c r="E2759" i="20"/>
  <c r="E2760" i="20"/>
  <c r="E2761" i="20"/>
  <c r="E2762" i="20"/>
  <c r="E2763" i="20"/>
  <c r="E2764" i="20"/>
  <c r="E2765" i="20"/>
  <c r="E2766" i="20"/>
  <c r="E2767" i="20"/>
  <c r="E2768" i="20"/>
  <c r="E2769" i="20"/>
  <c r="E2770" i="20"/>
  <c r="E2771" i="20"/>
  <c r="E2772" i="20"/>
  <c r="E2773" i="20"/>
  <c r="E2774" i="20"/>
  <c r="E2775" i="20"/>
  <c r="E2776" i="20"/>
  <c r="E2777" i="20"/>
  <c r="E2778" i="20"/>
  <c r="E2779" i="20"/>
  <c r="E2780" i="20"/>
  <c r="E2781" i="20"/>
  <c r="E2782" i="20"/>
  <c r="E2783" i="20"/>
  <c r="E2784" i="20"/>
  <c r="E2785" i="20"/>
  <c r="E2786" i="20"/>
  <c r="E2787" i="20"/>
  <c r="E2788" i="20"/>
  <c r="E2789" i="20"/>
  <c r="E2790" i="20"/>
  <c r="E2791" i="20"/>
  <c r="E2792" i="20"/>
  <c r="E2793" i="20"/>
  <c r="E2794" i="20"/>
  <c r="E2795" i="20"/>
  <c r="E2796" i="20"/>
  <c r="E2797" i="20"/>
  <c r="E2798" i="20"/>
  <c r="E2799" i="20"/>
  <c r="E2800" i="20"/>
  <c r="E2801" i="20"/>
  <c r="E2802" i="20"/>
  <c r="E2803" i="20"/>
  <c r="E2804" i="20"/>
  <c r="E2805" i="20"/>
  <c r="E2806" i="20"/>
  <c r="E2807" i="20"/>
  <c r="E2808" i="20"/>
  <c r="E2809" i="20"/>
  <c r="E2810" i="20"/>
  <c r="E2811" i="20"/>
  <c r="E2812" i="20"/>
  <c r="E2813" i="20"/>
  <c r="E2814" i="20"/>
  <c r="E2815" i="20"/>
  <c r="E2816" i="20"/>
  <c r="E2817" i="20"/>
  <c r="E2818" i="20"/>
  <c r="E2819" i="20"/>
  <c r="E2820" i="20"/>
  <c r="E2821" i="20"/>
  <c r="E2822" i="20"/>
  <c r="E2823" i="20"/>
  <c r="E2824" i="20"/>
  <c r="E2825" i="20"/>
  <c r="E2826" i="20"/>
  <c r="E2827" i="20"/>
  <c r="E2828" i="20"/>
  <c r="E2829" i="20"/>
  <c r="E2830" i="20"/>
  <c r="E2831" i="20"/>
  <c r="E2832" i="20"/>
  <c r="E2833" i="20"/>
  <c r="E2834" i="20"/>
  <c r="E2835" i="20"/>
  <c r="E2836" i="20"/>
  <c r="E2837" i="20"/>
  <c r="E2838" i="20"/>
  <c r="E2839" i="20"/>
  <c r="E2840" i="20"/>
  <c r="E2841" i="20"/>
  <c r="E2842" i="20"/>
  <c r="E2843" i="20"/>
  <c r="E2844" i="20"/>
  <c r="E2845" i="20"/>
  <c r="E2846" i="20"/>
  <c r="E2847" i="20"/>
  <c r="E2848" i="20"/>
  <c r="E2849" i="20"/>
  <c r="E2850" i="20"/>
  <c r="E2851" i="20"/>
  <c r="E2852" i="20"/>
  <c r="E2853" i="20"/>
  <c r="E2854" i="20"/>
  <c r="E2855" i="20"/>
  <c r="E2856" i="20"/>
  <c r="E2857" i="20"/>
  <c r="E2858" i="20"/>
  <c r="E2859" i="20"/>
  <c r="E2860" i="20"/>
  <c r="E2861" i="20"/>
  <c r="E2862" i="20"/>
  <c r="E2863" i="20"/>
  <c r="E2864" i="20"/>
  <c r="E2865" i="20"/>
  <c r="E2866" i="20"/>
  <c r="E2867" i="20"/>
  <c r="E2868" i="20"/>
  <c r="E2869" i="20"/>
  <c r="E2870" i="20"/>
  <c r="E2871" i="20"/>
  <c r="E2872" i="20"/>
  <c r="E2873" i="20"/>
  <c r="E2874" i="20"/>
  <c r="E2875" i="20"/>
  <c r="E2876" i="20"/>
  <c r="E2877" i="20"/>
  <c r="E2878" i="20"/>
  <c r="E2879" i="20"/>
  <c r="E2880" i="20"/>
  <c r="E2881" i="20"/>
  <c r="E2882" i="20"/>
  <c r="E2883" i="20"/>
  <c r="E2884" i="20"/>
  <c r="E2885" i="20"/>
  <c r="E2886" i="20"/>
  <c r="E2887" i="20"/>
  <c r="E2888" i="20"/>
  <c r="E2889" i="20"/>
  <c r="E2890" i="20"/>
  <c r="E2891" i="20"/>
  <c r="E2892" i="20"/>
  <c r="E2893" i="20"/>
  <c r="E2894" i="20"/>
  <c r="E2895" i="20"/>
  <c r="E2896" i="20"/>
  <c r="E2897" i="20"/>
  <c r="E2898" i="20"/>
  <c r="E2899" i="20"/>
  <c r="E2900" i="20"/>
  <c r="E2901" i="20"/>
  <c r="E2902" i="20"/>
  <c r="E2903" i="20"/>
  <c r="E2904" i="20"/>
  <c r="E2905" i="20"/>
  <c r="E2906" i="20"/>
  <c r="E2907" i="20"/>
  <c r="E2908" i="20"/>
  <c r="E2909" i="20"/>
  <c r="E2910" i="20"/>
  <c r="E2911" i="20"/>
  <c r="E2912" i="20"/>
  <c r="E2913" i="20"/>
  <c r="E2914" i="20"/>
  <c r="E2915" i="20"/>
  <c r="E2916" i="20"/>
  <c r="E2917" i="20"/>
  <c r="E2918" i="20"/>
  <c r="E2919" i="20"/>
  <c r="E2920" i="20"/>
  <c r="E2921" i="20"/>
  <c r="E2922" i="20"/>
  <c r="E2923" i="20"/>
  <c r="E2924" i="20"/>
  <c r="E2925" i="20"/>
  <c r="E2926" i="20"/>
  <c r="E2927" i="20"/>
  <c r="E2928" i="20"/>
  <c r="E2929" i="20"/>
  <c r="E2930" i="20"/>
  <c r="E2931" i="20"/>
  <c r="E2932" i="20"/>
  <c r="E2933" i="20"/>
  <c r="E2934" i="20"/>
  <c r="E2935" i="20"/>
  <c r="E2936" i="20"/>
  <c r="E2937" i="20"/>
  <c r="E2938" i="20"/>
  <c r="E2939" i="20"/>
  <c r="E2940" i="20"/>
  <c r="E2941" i="20"/>
  <c r="E2942" i="20"/>
  <c r="E2943" i="20"/>
  <c r="E2944" i="20"/>
  <c r="E2945" i="20"/>
  <c r="E2946" i="20"/>
  <c r="E2947" i="20"/>
  <c r="E2948" i="20"/>
  <c r="E2949" i="20"/>
  <c r="E2950" i="20"/>
  <c r="E2951" i="20"/>
  <c r="E2952" i="20"/>
  <c r="E2953" i="20"/>
  <c r="E2954" i="20"/>
  <c r="E2955" i="20"/>
  <c r="E2956" i="20"/>
  <c r="E2957" i="20"/>
  <c r="E2958" i="20"/>
  <c r="E2959" i="20"/>
  <c r="E2960" i="20"/>
  <c r="E2961" i="20"/>
  <c r="E2962" i="20"/>
  <c r="E2963" i="20"/>
  <c r="E2964" i="20"/>
  <c r="E2965" i="20"/>
  <c r="E2966" i="20"/>
  <c r="E2967" i="20"/>
  <c r="E2968" i="20"/>
  <c r="E2969" i="20"/>
  <c r="E2970" i="20"/>
  <c r="E2971" i="20"/>
  <c r="E2972" i="20"/>
  <c r="E2973" i="20"/>
  <c r="E2974" i="20"/>
  <c r="E2975" i="20"/>
  <c r="E2976" i="20"/>
  <c r="E2977" i="20"/>
  <c r="E2978" i="20"/>
  <c r="E2979" i="20"/>
  <c r="E2980" i="20"/>
  <c r="E2981" i="20"/>
  <c r="E2982" i="20"/>
  <c r="E2983" i="20"/>
  <c r="E2984" i="20"/>
  <c r="E2985" i="20"/>
  <c r="E2986" i="20"/>
  <c r="E2987" i="20"/>
  <c r="E2988" i="20"/>
  <c r="E2989" i="20"/>
  <c r="E2990" i="20"/>
  <c r="E2991" i="20"/>
  <c r="E2992" i="20"/>
  <c r="E2993" i="20"/>
  <c r="E2994" i="20"/>
  <c r="E2995" i="20"/>
  <c r="E2996" i="20"/>
  <c r="E2997" i="20"/>
  <c r="E2998" i="20"/>
  <c r="E2999" i="20"/>
  <c r="E3000" i="20"/>
  <c r="K62" i="2" l="1"/>
  <c r="K50" i="2"/>
  <c r="H62" i="2"/>
  <c r="AD29" i="2"/>
  <c r="AD17" i="2"/>
  <c r="AR29" i="2"/>
  <c r="L48" i="2"/>
  <c r="L60" i="2"/>
  <c r="I50" i="2"/>
  <c r="F50" i="2"/>
  <c r="H50" i="2"/>
  <c r="J50" i="2"/>
  <c r="AM38" i="2"/>
  <c r="AM37" i="2"/>
  <c r="AM36" i="2"/>
  <c r="AM35" i="2"/>
  <c r="AA34" i="2"/>
  <c r="AM33" i="2"/>
  <c r="AA32" i="2"/>
  <c r="AA31" i="2"/>
  <c r="AA30" i="2"/>
  <c r="AA36" i="2"/>
  <c r="AA33" i="2"/>
  <c r="AM31" i="2"/>
  <c r="AM32" i="2"/>
  <c r="AA38" i="2"/>
  <c r="AA37" i="2"/>
  <c r="AM18" i="2"/>
  <c r="AM30" i="2"/>
  <c r="E17" i="2"/>
  <c r="E29" i="2"/>
  <c r="AA35" i="2"/>
  <c r="AM34" i="2"/>
  <c r="E50" i="2"/>
  <c r="D50" i="2"/>
  <c r="AC15" i="2"/>
  <c r="AO39" i="2"/>
  <c r="F31" i="2"/>
  <c r="F19" i="2"/>
  <c r="J49" i="2"/>
  <c r="K61" i="2"/>
  <c r="K49" i="2"/>
  <c r="F61" i="2"/>
  <c r="AN38" i="2"/>
  <c r="AN37" i="2"/>
  <c r="AN36" i="2"/>
  <c r="AN34" i="2"/>
  <c r="AN33" i="2"/>
  <c r="AN32" i="2"/>
  <c r="AN31" i="2"/>
  <c r="AQ29" i="2"/>
  <c r="E20" i="2"/>
  <c r="AN35" i="2"/>
  <c r="AQ30" i="2"/>
  <c r="AS29" i="2"/>
  <c r="AO30" i="2"/>
  <c r="E23" i="2"/>
  <c r="AU49" i="2"/>
  <c r="AW49" i="2" s="1"/>
  <c r="AX30" i="2"/>
  <c r="E34" i="2"/>
  <c r="AX29" i="2"/>
  <c r="AX27" i="2"/>
  <c r="E18" i="2"/>
  <c r="AB30" i="2"/>
  <c r="AB36" i="2"/>
  <c r="AH31" i="2"/>
  <c r="AE31" i="2"/>
  <c r="AE37" i="2"/>
  <c r="AE33" i="2"/>
  <c r="AD33" i="2"/>
  <c r="AD36" i="2"/>
  <c r="AD35" i="2"/>
  <c r="AG36" i="2"/>
  <c r="AG30" i="2"/>
  <c r="AG35" i="2"/>
  <c r="AF35" i="2"/>
  <c r="AF36" i="2"/>
  <c r="AC30" i="2"/>
  <c r="AC35" i="2"/>
  <c r="AT34" i="2"/>
  <c r="AT35" i="2"/>
  <c r="AO33" i="2"/>
  <c r="AO35" i="2"/>
  <c r="AO37" i="2"/>
  <c r="AS32" i="2"/>
  <c r="AS30" i="2"/>
  <c r="AS37" i="2"/>
  <c r="AQ31" i="2"/>
  <c r="AQ36" i="2"/>
  <c r="AQ32" i="2"/>
  <c r="AR31" i="2"/>
  <c r="AR33" i="2"/>
  <c r="AR36" i="2"/>
  <c r="AP35" i="2"/>
  <c r="AP33" i="2"/>
  <c r="AP38" i="2"/>
  <c r="E30" i="2"/>
  <c r="AB19" i="2"/>
  <c r="AX31" i="2"/>
  <c r="E36" i="2"/>
  <c r="AX15" i="2"/>
  <c r="AB27" i="2"/>
  <c r="AH29" i="2"/>
  <c r="AH35" i="2"/>
  <c r="AH30" i="2"/>
  <c r="AE35" i="2"/>
  <c r="AE32" i="2"/>
  <c r="AD38" i="2"/>
  <c r="AG33" i="2"/>
  <c r="AF30" i="2"/>
  <c r="AF37" i="2"/>
  <c r="AF38" i="2"/>
  <c r="AC33" i="2"/>
  <c r="AC32" i="2"/>
  <c r="AC38" i="2"/>
  <c r="AT29" i="2"/>
  <c r="AT36" i="2"/>
  <c r="AT37" i="2"/>
  <c r="AO34" i="2"/>
  <c r="AO31" i="2"/>
  <c r="AO38" i="2"/>
  <c r="AS31" i="2"/>
  <c r="AS34" i="2"/>
  <c r="AS36" i="2"/>
  <c r="AQ38" i="2"/>
  <c r="AQ34" i="2"/>
  <c r="AR34" i="2"/>
  <c r="AR32" i="2"/>
  <c r="AR35" i="2"/>
  <c r="AP37" i="2"/>
  <c r="AP36" i="2"/>
  <c r="AB26" i="2"/>
  <c r="AX38" i="2"/>
  <c r="AB22" i="2"/>
  <c r="AX34" i="2"/>
  <c r="E32" i="2"/>
  <c r="E33" i="2"/>
  <c r="E21" i="2"/>
  <c r="E24" i="2"/>
  <c r="E22" i="2"/>
  <c r="AB31" i="2"/>
  <c r="AB34" i="2"/>
  <c r="AH33" i="2"/>
  <c r="AH32" i="2"/>
  <c r="AH37" i="2"/>
  <c r="AH34" i="2"/>
  <c r="AE30" i="2"/>
  <c r="AE38" i="2"/>
  <c r="AE36" i="2"/>
  <c r="AD30" i="2"/>
  <c r="AG34" i="2"/>
  <c r="AF33" i="2"/>
  <c r="AC34" i="2"/>
  <c r="AC36" i="2"/>
  <c r="AC37" i="2"/>
  <c r="AT31" i="2"/>
  <c r="AT38" i="2"/>
  <c r="AT30" i="2"/>
  <c r="AO36" i="2"/>
  <c r="AO32" i="2"/>
  <c r="AS35" i="2"/>
  <c r="AQ37" i="2"/>
  <c r="AR38" i="2"/>
  <c r="AP32" i="2"/>
  <c r="AN25" i="2"/>
  <c r="AX37" i="2"/>
  <c r="AN24" i="2"/>
  <c r="AX36" i="2"/>
  <c r="AN21" i="2"/>
  <c r="AX33" i="2"/>
  <c r="AN20" i="2"/>
  <c r="AX32" i="2"/>
  <c r="E31" i="2"/>
  <c r="E19" i="2"/>
  <c r="AB33" i="2"/>
  <c r="AN23" i="2"/>
  <c r="AX35" i="2"/>
  <c r="E35" i="2"/>
  <c r="AB35" i="2"/>
  <c r="AB29" i="2"/>
  <c r="AB37" i="2"/>
  <c r="AB32" i="2"/>
  <c r="AB38" i="2"/>
  <c r="AH36" i="2"/>
  <c r="AH38" i="2"/>
  <c r="AE34" i="2"/>
  <c r="AE29" i="2"/>
  <c r="AD37" i="2"/>
  <c r="AD32" i="2"/>
  <c r="AD31" i="2"/>
  <c r="AD34" i="2"/>
  <c r="AG32" i="2"/>
  <c r="AG29" i="2"/>
  <c r="AG38" i="2"/>
  <c r="AG31" i="2"/>
  <c r="AG37" i="2"/>
  <c r="AF31" i="2"/>
  <c r="AF34" i="2"/>
  <c r="AF32" i="2"/>
  <c r="AC29" i="2"/>
  <c r="AC31" i="2"/>
  <c r="AT32" i="2"/>
  <c r="AT33" i="2"/>
  <c r="AN30" i="2"/>
  <c r="AN27" i="2"/>
  <c r="AU27" i="2" s="1"/>
  <c r="AW27" i="2" s="1"/>
  <c r="AN29" i="2"/>
  <c r="AS38" i="2"/>
  <c r="AS33" i="2"/>
  <c r="AQ33" i="2"/>
  <c r="AQ35" i="2"/>
  <c r="AR30" i="2"/>
  <c r="AR37" i="2"/>
  <c r="AP30" i="2"/>
  <c r="AP31" i="2"/>
  <c r="AP34" i="2"/>
  <c r="AU34" i="2" s="1"/>
  <c r="AW34" i="2" s="1"/>
  <c r="AN15" i="2"/>
  <c r="AB21" i="2"/>
  <c r="AB23" i="2"/>
  <c r="AB20" i="2"/>
  <c r="AH25" i="2"/>
  <c r="AH18" i="2"/>
  <c r="AE20" i="2"/>
  <c r="AE21" i="2"/>
  <c r="AE25" i="2"/>
  <c r="AD24" i="2"/>
  <c r="AG20" i="2"/>
  <c r="AG18" i="2"/>
  <c r="AG25" i="2"/>
  <c r="AF25" i="2"/>
  <c r="AC24" i="2"/>
  <c r="AC21" i="2"/>
  <c r="AC19" i="2"/>
  <c r="AT24" i="2"/>
  <c r="AN26" i="2"/>
  <c r="AN19" i="2"/>
  <c r="AO26" i="2"/>
  <c r="AQ19" i="2"/>
  <c r="AR18" i="2"/>
  <c r="AR26" i="2"/>
  <c r="AR23" i="2"/>
  <c r="AP22" i="2"/>
  <c r="AP21" i="2"/>
  <c r="AB24" i="2"/>
  <c r="AH20" i="2"/>
  <c r="AH21" i="2"/>
  <c r="AH22" i="2"/>
  <c r="AE22" i="2"/>
  <c r="AE24" i="2"/>
  <c r="AD19" i="2"/>
  <c r="AD25" i="2"/>
  <c r="AG24" i="2"/>
  <c r="AG21" i="2"/>
  <c r="AG22" i="2"/>
  <c r="AG26" i="2"/>
  <c r="AF20" i="2"/>
  <c r="AC25" i="2"/>
  <c r="AC23" i="2"/>
  <c r="AT26" i="2"/>
  <c r="AN22" i="2"/>
  <c r="AR24" i="2"/>
  <c r="AR22" i="2"/>
  <c r="AR21" i="2"/>
  <c r="AP23" i="2"/>
  <c r="AH19" i="2"/>
  <c r="AE23" i="2"/>
  <c r="AG19" i="2"/>
  <c r="AF18" i="2"/>
  <c r="AF19" i="2"/>
  <c r="AO20" i="2"/>
  <c r="AU20" i="2" s="1"/>
  <c r="AW20" i="2" s="1"/>
  <c r="AS23" i="2"/>
  <c r="AH23" i="2"/>
  <c r="AE26" i="2"/>
  <c r="AD20" i="2"/>
  <c r="AD26" i="2"/>
  <c r="AC22" i="2"/>
  <c r="AE17" i="2"/>
  <c r="AQ17" i="2"/>
  <c r="AB15" i="2"/>
  <c r="H49" i="2"/>
  <c r="E49" i="2"/>
  <c r="F49" i="2"/>
  <c r="L55" i="2"/>
  <c r="J62" i="2"/>
  <c r="G50" i="2"/>
  <c r="D62" i="2"/>
  <c r="F62" i="2"/>
  <c r="H61" i="2"/>
  <c r="E62" i="2"/>
  <c r="L59" i="2"/>
  <c r="L47" i="2"/>
  <c r="I61" i="2"/>
  <c r="I62" i="2"/>
  <c r="L58" i="2"/>
  <c r="G61" i="2"/>
  <c r="G62" i="2"/>
  <c r="L46" i="2"/>
  <c r="L45" i="2"/>
  <c r="E61" i="2"/>
  <c r="L57" i="2"/>
  <c r="L44" i="2"/>
  <c r="L56" i="2"/>
  <c r="D49" i="2"/>
  <c r="C50" i="2"/>
  <c r="C62" i="2"/>
  <c r="D61" i="2"/>
  <c r="L43" i="2"/>
  <c r="J61" i="2"/>
  <c r="AU46" i="2"/>
  <c r="AW46" i="2" s="1"/>
  <c r="L54" i="2"/>
  <c r="G49" i="2"/>
  <c r="L42" i="2"/>
  <c r="I49" i="2"/>
  <c r="L53" i="2"/>
  <c r="C61" i="2"/>
  <c r="L41" i="2"/>
  <c r="C49" i="2"/>
  <c r="AP13" i="2"/>
  <c r="AM13" i="2"/>
  <c r="AC17" i="2"/>
  <c r="AO17" i="2"/>
  <c r="AA15" i="2"/>
  <c r="AM15" i="2"/>
  <c r="AM14" i="2"/>
  <c r="AU39" i="2"/>
  <c r="AW39" i="2" s="1"/>
  <c r="AU67" i="2"/>
  <c r="AW67" i="2" s="1"/>
  <c r="AU54" i="2"/>
  <c r="AW54" i="2" s="1"/>
  <c r="AU44" i="2"/>
  <c r="AW44" i="2" s="1"/>
  <c r="AU58" i="2"/>
  <c r="AW58" i="2" s="1"/>
  <c r="AU48" i="2"/>
  <c r="AW48" i="2" s="1"/>
  <c r="AU32" i="2"/>
  <c r="AW32" i="2" s="1"/>
  <c r="AU69" i="2"/>
  <c r="AW69" i="2" s="1"/>
  <c r="AU66" i="2"/>
  <c r="AW66" i="2" s="1"/>
  <c r="AU56" i="2"/>
  <c r="AW56" i="2" s="1"/>
  <c r="AU51" i="2"/>
  <c r="AW51" i="2" s="1"/>
  <c r="AU70" i="2"/>
  <c r="AW70" i="2" s="1"/>
  <c r="AU25" i="2"/>
  <c r="AW25" i="2" s="1"/>
  <c r="AU64" i="2"/>
  <c r="AW64" i="2" s="1"/>
  <c r="AU53" i="2"/>
  <c r="AW53" i="2" s="1"/>
  <c r="AU62" i="2"/>
  <c r="AW62" i="2" s="1"/>
  <c r="AU52" i="2"/>
  <c r="AW52" i="2" s="1"/>
  <c r="AU72" i="2"/>
  <c r="AW72" i="2" s="1"/>
  <c r="AU61" i="2"/>
  <c r="AW61" i="2" s="1"/>
  <c r="AU60" i="2"/>
  <c r="AW60" i="2" s="1"/>
  <c r="AU43" i="2"/>
  <c r="AW43" i="2" s="1"/>
  <c r="AU41" i="2"/>
  <c r="AW41" i="2" s="1"/>
  <c r="AU55" i="2"/>
  <c r="AW55" i="2" s="1"/>
  <c r="AU29" i="2"/>
  <c r="AW29" i="2" s="1"/>
  <c r="AU68" i="2"/>
  <c r="AW68" i="2" s="1"/>
  <c r="AU16" i="2"/>
  <c r="AW16" i="2" s="1"/>
  <c r="AU47" i="2"/>
  <c r="AW47" i="2" s="1"/>
  <c r="AU63" i="2"/>
  <c r="AW63" i="2" s="1"/>
  <c r="AU37" i="2"/>
  <c r="AW37" i="2" s="1"/>
  <c r="AU42" i="2"/>
  <c r="AW42" i="2" s="1"/>
  <c r="AU74" i="2"/>
  <c r="AW74" i="2" s="1"/>
  <c r="AU57" i="2"/>
  <c r="AW57" i="2" s="1"/>
  <c r="AU40" i="2"/>
  <c r="AW40" i="2" s="1"/>
  <c r="AU28" i="2"/>
  <c r="AW28" i="2" s="1"/>
  <c r="AU73" i="2"/>
  <c r="AW73" i="2" s="1"/>
  <c r="AU71" i="2"/>
  <c r="AW71" i="2" s="1"/>
  <c r="AU65" i="2"/>
  <c r="AW65" i="2" s="1"/>
  <c r="AU45" i="2"/>
  <c r="AW45" i="2" s="1"/>
  <c r="AU59" i="2"/>
  <c r="AW59" i="2" s="1"/>
  <c r="AU36" i="2"/>
  <c r="AW36" i="2" s="1"/>
  <c r="AU50" i="2"/>
  <c r="AW50" i="2" s="1"/>
  <c r="AI28" i="2"/>
  <c r="AK28" i="2" s="1"/>
  <c r="AI46" i="2"/>
  <c r="AK46" i="2" s="1"/>
  <c r="AI35" i="2"/>
  <c r="AK35" i="2" s="1"/>
  <c r="AI30" i="2"/>
  <c r="AK30" i="2" s="1"/>
  <c r="AI87" i="2"/>
  <c r="AK87" i="2" s="1"/>
  <c r="AI48" i="2"/>
  <c r="AK48" i="2" s="1"/>
  <c r="AI54" i="2"/>
  <c r="AK54" i="2" s="1"/>
  <c r="AI41" i="2"/>
  <c r="AK41" i="2" s="1"/>
  <c r="AI57" i="2"/>
  <c r="AK57" i="2" s="1"/>
  <c r="AI75" i="2"/>
  <c r="AK75" i="2" s="1"/>
  <c r="AI64" i="2"/>
  <c r="AK64" i="2" s="1"/>
  <c r="AI47" i="2"/>
  <c r="AK47" i="2" s="1"/>
  <c r="AI63" i="2"/>
  <c r="AK63" i="2" s="1"/>
  <c r="AI76" i="2"/>
  <c r="AK76" i="2" s="1"/>
  <c r="AI92" i="2"/>
  <c r="AK92" i="2" s="1"/>
  <c r="AI108" i="2"/>
  <c r="AK108" i="2" s="1"/>
  <c r="AI85" i="2"/>
  <c r="AK85" i="2" s="1"/>
  <c r="AI101" i="2"/>
  <c r="AK101" i="2" s="1"/>
  <c r="AI78" i="2"/>
  <c r="AK78" i="2" s="1"/>
  <c r="AI94" i="2"/>
  <c r="AK94" i="2" s="1"/>
  <c r="AI110" i="2"/>
  <c r="AK110" i="2" s="1"/>
  <c r="AI79" i="2"/>
  <c r="AK79" i="2" s="1"/>
  <c r="AI44" i="2"/>
  <c r="AK44" i="2" s="1"/>
  <c r="AI103" i="2"/>
  <c r="AK103" i="2" s="1"/>
  <c r="AI91" i="2"/>
  <c r="AK91" i="2" s="1"/>
  <c r="AI58" i="2"/>
  <c r="AK58" i="2" s="1"/>
  <c r="AI45" i="2"/>
  <c r="AK45" i="2" s="1"/>
  <c r="AI61" i="2"/>
  <c r="AK61" i="2" s="1"/>
  <c r="AI52" i="2"/>
  <c r="AK52" i="2" s="1"/>
  <c r="AI68" i="2"/>
  <c r="AK68" i="2" s="1"/>
  <c r="AI51" i="2"/>
  <c r="AK51" i="2" s="1"/>
  <c r="AI67" i="2"/>
  <c r="AK67" i="2" s="1"/>
  <c r="AI80" i="2"/>
  <c r="AK80" i="2" s="1"/>
  <c r="AI96" i="2"/>
  <c r="AK96" i="2" s="1"/>
  <c r="AI73" i="2"/>
  <c r="AK73" i="2" s="1"/>
  <c r="AI89" i="2"/>
  <c r="AK89" i="2" s="1"/>
  <c r="AI105" i="2"/>
  <c r="AK105" i="2" s="1"/>
  <c r="AI82" i="2"/>
  <c r="AK82" i="2" s="1"/>
  <c r="AI98" i="2"/>
  <c r="AK98" i="2" s="1"/>
  <c r="AI36" i="2"/>
  <c r="AK36" i="2" s="1"/>
  <c r="AI95" i="2"/>
  <c r="AK95" i="2" s="1"/>
  <c r="AI27" i="2"/>
  <c r="AK27" i="2" s="1"/>
  <c r="AI83" i="2"/>
  <c r="AK83" i="2" s="1"/>
  <c r="AI42" i="2"/>
  <c r="AK42" i="2" s="1"/>
  <c r="AI107" i="2"/>
  <c r="AK107" i="2" s="1"/>
  <c r="AI62" i="2"/>
  <c r="AK62" i="2" s="1"/>
  <c r="AI33" i="2"/>
  <c r="AK33" i="2" s="1"/>
  <c r="AI49" i="2"/>
  <c r="AK49" i="2" s="1"/>
  <c r="AI65" i="2"/>
  <c r="AK65" i="2" s="1"/>
  <c r="AI56" i="2"/>
  <c r="AK56" i="2" s="1"/>
  <c r="AI39" i="2"/>
  <c r="AK39" i="2" s="1"/>
  <c r="AI55" i="2"/>
  <c r="AK55" i="2" s="1"/>
  <c r="AI70" i="2"/>
  <c r="AK70" i="2" s="1"/>
  <c r="AI84" i="2"/>
  <c r="AK84" i="2" s="1"/>
  <c r="AI100" i="2"/>
  <c r="AK100" i="2" s="1"/>
  <c r="AI77" i="2"/>
  <c r="AK77" i="2" s="1"/>
  <c r="AI93" i="2"/>
  <c r="AK93" i="2" s="1"/>
  <c r="AI109" i="2"/>
  <c r="AK109" i="2" s="1"/>
  <c r="AI86" i="2"/>
  <c r="AK86" i="2" s="1"/>
  <c r="AI102" i="2"/>
  <c r="AK102" i="2" s="1"/>
  <c r="AI16" i="2"/>
  <c r="AK16" i="2" s="1"/>
  <c r="AI99" i="2"/>
  <c r="AK99" i="2" s="1"/>
  <c r="AI71" i="2"/>
  <c r="AK71" i="2" s="1"/>
  <c r="AI40" i="2"/>
  <c r="AK40" i="2" s="1"/>
  <c r="AI50" i="2"/>
  <c r="AK50" i="2" s="1"/>
  <c r="AI66" i="2"/>
  <c r="AK66" i="2" s="1"/>
  <c r="AI53" i="2"/>
  <c r="AK53" i="2" s="1"/>
  <c r="AI69" i="2"/>
  <c r="AK69" i="2" s="1"/>
  <c r="AI60" i="2"/>
  <c r="AK60" i="2" s="1"/>
  <c r="AI43" i="2"/>
  <c r="AK43" i="2" s="1"/>
  <c r="AI59" i="2"/>
  <c r="AK59" i="2" s="1"/>
  <c r="AI72" i="2"/>
  <c r="AK72" i="2" s="1"/>
  <c r="AI88" i="2"/>
  <c r="AK88" i="2" s="1"/>
  <c r="AI104" i="2"/>
  <c r="AK104" i="2" s="1"/>
  <c r="AI81" i="2"/>
  <c r="AK81" i="2" s="1"/>
  <c r="AI97" i="2"/>
  <c r="AK97" i="2" s="1"/>
  <c r="AI74" i="2"/>
  <c r="AK74" i="2" s="1"/>
  <c r="AI90" i="2"/>
  <c r="AK90" i="2" s="1"/>
  <c r="AI106" i="2"/>
  <c r="AK106" i="2" s="1"/>
  <c r="AA14" i="2"/>
  <c r="AD13" i="2"/>
  <c r="AA13" i="2"/>
  <c r="F25" i="2"/>
  <c r="E25" i="2"/>
  <c r="I25" i="2"/>
  <c r="K26" i="2"/>
  <c r="G26" i="2"/>
  <c r="I26" i="2"/>
  <c r="J26" i="2"/>
  <c r="E26" i="2"/>
  <c r="F26" i="2"/>
  <c r="H26" i="2"/>
  <c r="L14" i="2"/>
  <c r="M14" i="2" s="1"/>
  <c r="M5" i="2"/>
  <c r="J25" i="2"/>
  <c r="K25" i="2"/>
  <c r="H25" i="2"/>
  <c r="G25" i="2"/>
  <c r="L13" i="2"/>
  <c r="M13" i="2" s="1"/>
  <c r="AI37" i="2" l="1"/>
  <c r="AK37" i="2" s="1"/>
  <c r="AU38" i="2"/>
  <c r="AW38" i="2" s="1"/>
  <c r="AU35" i="2"/>
  <c r="AW35" i="2" s="1"/>
  <c r="AI32" i="2"/>
  <c r="AK32" i="2" s="1"/>
  <c r="AU31" i="2"/>
  <c r="AW31" i="2" s="1"/>
  <c r="F38" i="2"/>
  <c r="F37" i="2"/>
  <c r="AI31" i="2"/>
  <c r="AK31" i="2" s="1"/>
  <c r="AU15" i="2"/>
  <c r="AW15" i="2" s="1"/>
  <c r="AU24" i="2"/>
  <c r="AW24" i="2" s="1"/>
  <c r="AU26" i="2"/>
  <c r="AW26" i="2" s="1"/>
  <c r="AU19" i="2"/>
  <c r="AW19" i="2" s="1"/>
  <c r="AI25" i="2"/>
  <c r="AK25" i="2" s="1"/>
  <c r="AI34" i="2"/>
  <c r="AK34" i="2" s="1"/>
  <c r="AI29" i="2"/>
  <c r="AK29" i="2" s="1"/>
  <c r="AI38" i="2"/>
  <c r="AK38" i="2" s="1"/>
  <c r="AI22" i="2"/>
  <c r="AK22" i="2" s="1"/>
  <c r="AU21" i="2"/>
  <c r="AW21" i="2" s="1"/>
  <c r="AU33" i="2"/>
  <c r="AW33" i="2" s="1"/>
  <c r="AI21" i="2"/>
  <c r="AK21" i="2" s="1"/>
  <c r="AU30" i="2"/>
  <c r="AW30" i="2" s="1"/>
  <c r="AU23" i="2"/>
  <c r="AW23" i="2" s="1"/>
  <c r="AI20" i="2"/>
  <c r="AK20" i="2" s="1"/>
  <c r="AI26" i="2"/>
  <c r="AK26" i="2" s="1"/>
  <c r="AU22" i="2"/>
  <c r="AW22" i="2" s="1"/>
  <c r="AI24" i="2"/>
  <c r="AK24" i="2" s="1"/>
  <c r="AI23" i="2"/>
  <c r="AK23" i="2" s="1"/>
  <c r="AI19" i="2"/>
  <c r="AK19" i="2" s="1"/>
  <c r="E38" i="2"/>
  <c r="E37" i="2"/>
  <c r="AI15" i="2"/>
  <c r="AK15" i="2" s="1"/>
  <c r="L62" i="2"/>
  <c r="L49" i="2"/>
  <c r="L61" i="2"/>
  <c r="L50" i="2"/>
  <c r="O15" i="29"/>
  <c r="P15" i="29"/>
  <c r="Q15" i="29"/>
  <c r="R15" i="29"/>
  <c r="S15" i="29"/>
  <c r="N15" i="29"/>
  <c r="I25" i="29" l="1"/>
  <c r="B51" i="29"/>
  <c r="B46" i="29"/>
  <c r="B41" i="29"/>
  <c r="O25" i="29"/>
  <c r="P25" i="29"/>
  <c r="Q25" i="29"/>
  <c r="R25" i="29"/>
  <c r="S25" i="29"/>
  <c r="O26" i="29"/>
  <c r="P26" i="29"/>
  <c r="Q26" i="29"/>
  <c r="R26" i="29"/>
  <c r="S26" i="29"/>
  <c r="O27" i="29"/>
  <c r="P27" i="29"/>
  <c r="Q27" i="29"/>
  <c r="R27" i="29"/>
  <c r="S27" i="29"/>
  <c r="O28" i="29"/>
  <c r="P28" i="29"/>
  <c r="Q28" i="29"/>
  <c r="R28" i="29"/>
  <c r="S28" i="29"/>
  <c r="N28" i="29"/>
  <c r="B52" i="29" s="1"/>
  <c r="N27" i="29"/>
  <c r="B47" i="29" s="1"/>
  <c r="N26" i="29"/>
  <c r="G64" i="29"/>
  <c r="O4" i="29"/>
  <c r="P4" i="29"/>
  <c r="Q4" i="29"/>
  <c r="S4" i="29"/>
  <c r="R4" i="29"/>
  <c r="L28" i="29" l="1"/>
  <c r="C53" i="29"/>
  <c r="F53" i="29"/>
  <c r="I53" i="29"/>
  <c r="E53" i="29"/>
  <c r="H53" i="29"/>
  <c r="C48" i="29"/>
  <c r="I48" i="29"/>
  <c r="H48" i="29"/>
  <c r="E48" i="29"/>
  <c r="F48" i="29"/>
  <c r="B37" i="29"/>
  <c r="L25" i="29" s="1"/>
  <c r="B42" i="29"/>
  <c r="R32" i="29"/>
  <c r="O32" i="29"/>
  <c r="Q32" i="29"/>
  <c r="P32" i="29"/>
  <c r="S32" i="29"/>
  <c r="N32" i="29"/>
  <c r="N31" i="29"/>
  <c r="R31" i="29"/>
  <c r="O31" i="29"/>
  <c r="Q31" i="29"/>
  <c r="P31" i="29"/>
  <c r="S31" i="29"/>
  <c r="L26" i="29"/>
  <c r="L27" i="29"/>
  <c r="H64" i="29"/>
  <c r="D48" i="29" l="1"/>
  <c r="G53" i="29"/>
  <c r="G48" i="29"/>
  <c r="M26" i="29"/>
  <c r="H44" i="29" s="1"/>
  <c r="M27" i="29"/>
  <c r="I49" i="29" s="1"/>
  <c r="M25" i="29"/>
  <c r="F39" i="29" s="1"/>
  <c r="C43" i="29"/>
  <c r="E43" i="29"/>
  <c r="I43" i="29"/>
  <c r="H43" i="29"/>
  <c r="F43" i="29"/>
  <c r="C38" i="29"/>
  <c r="I38" i="29"/>
  <c r="F38" i="29"/>
  <c r="H38" i="29"/>
  <c r="E38" i="29"/>
  <c r="D53" i="29"/>
  <c r="M28" i="29"/>
  <c r="E54" i="29" s="1"/>
  <c r="H62" i="29"/>
  <c r="H61" i="29"/>
  <c r="G62" i="29"/>
  <c r="G61" i="29"/>
  <c r="I10" i="29"/>
  <c r="C44" i="29" l="1"/>
  <c r="H54" i="29"/>
  <c r="F54" i="29"/>
  <c r="D54" i="29" s="1"/>
  <c r="C54" i="29"/>
  <c r="I54" i="29"/>
  <c r="C49" i="29"/>
  <c r="C39" i="29"/>
  <c r="D43" i="29"/>
  <c r="G43" i="29"/>
  <c r="E39" i="29"/>
  <c r="H49" i="29"/>
  <c r="G49" i="29" s="1"/>
  <c r="F44" i="29"/>
  <c r="D38" i="29"/>
  <c r="G38" i="29"/>
  <c r="I39" i="29"/>
  <c r="E49" i="29"/>
  <c r="I44" i="29"/>
  <c r="G44" i="29" s="1"/>
  <c r="H39" i="29"/>
  <c r="F49" i="29"/>
  <c r="E44" i="29"/>
  <c r="H63" i="29"/>
  <c r="AT13" i="2"/>
  <c r="AO13" i="2"/>
  <c r="G54" i="29" l="1"/>
  <c r="AP8" i="2"/>
  <c r="AR17" i="2"/>
  <c r="AF17" i="2"/>
  <c r="D34" i="2"/>
  <c r="D22" i="2"/>
  <c r="AF14" i="2"/>
  <c r="AR14" i="2"/>
  <c r="AF10" i="2"/>
  <c r="AR10" i="2"/>
  <c r="AM12" i="2"/>
  <c r="AG10" i="2"/>
  <c r="AS10" i="2"/>
  <c r="AS13" i="2"/>
  <c r="AB18" i="2"/>
  <c r="AN18" i="2"/>
  <c r="AX17" i="2"/>
  <c r="AQ13" i="2"/>
  <c r="AP12" i="2"/>
  <c r="AQ14" i="2"/>
  <c r="AE14" i="2"/>
  <c r="AQ18" i="2"/>
  <c r="AE18" i="2"/>
  <c r="D33" i="2"/>
  <c r="D21" i="2"/>
  <c r="I23" i="29"/>
  <c r="AN17" i="2"/>
  <c r="AB17" i="2"/>
  <c r="D30" i="2"/>
  <c r="D18" i="2"/>
  <c r="AN11" i="2"/>
  <c r="AB11" i="2"/>
  <c r="AN10" i="2"/>
  <c r="AB10" i="2"/>
  <c r="G39" i="29"/>
  <c r="D44" i="29"/>
  <c r="AX18" i="2"/>
  <c r="AX10" i="2"/>
  <c r="AX11" i="2"/>
  <c r="AR12" i="2"/>
  <c r="AT12" i="2"/>
  <c r="D49" i="29"/>
  <c r="AN8" i="2"/>
  <c r="AX8" i="2"/>
  <c r="AN4" i="2"/>
  <c r="AX4" i="2"/>
  <c r="AN5" i="2"/>
  <c r="AX5" i="2"/>
  <c r="AQ9" i="2"/>
  <c r="AP10" i="2"/>
  <c r="AO12" i="2"/>
  <c r="AT3" i="2"/>
  <c r="AX12" i="2"/>
  <c r="AN12" i="2"/>
  <c r="AS4" i="2"/>
  <c r="AO7" i="2"/>
  <c r="AO14" i="2"/>
  <c r="AR13" i="2"/>
  <c r="AN9" i="2"/>
  <c r="AX9" i="2"/>
  <c r="AS12" i="2"/>
  <c r="AN6" i="2"/>
  <c r="AX6" i="2"/>
  <c r="AN7" i="2"/>
  <c r="AX7" i="2"/>
  <c r="AT14" i="2"/>
  <c r="AX13" i="2"/>
  <c r="AN13" i="2"/>
  <c r="AN14" i="2"/>
  <c r="AX14" i="2"/>
  <c r="AQ12" i="2"/>
  <c r="AA9" i="2"/>
  <c r="AM9" i="2"/>
  <c r="AM3" i="2"/>
  <c r="AA3" i="2"/>
  <c r="AC9" i="2"/>
  <c r="AO9" i="2"/>
  <c r="AO6" i="2"/>
  <c r="AF7" i="2"/>
  <c r="AR7" i="2"/>
  <c r="AO8" i="2"/>
  <c r="AE13" i="2"/>
  <c r="AG11" i="2"/>
  <c r="AS11" i="2"/>
  <c r="AC10" i="2"/>
  <c r="AO10" i="2"/>
  <c r="AD14" i="2"/>
  <c r="AP14" i="2"/>
  <c r="AG13" i="2"/>
  <c r="AH11" i="2"/>
  <c r="AT11" i="2"/>
  <c r="AH8" i="2"/>
  <c r="AT8" i="2"/>
  <c r="AH17" i="2"/>
  <c r="AT17" i="2"/>
  <c r="AD12" i="2"/>
  <c r="AH3" i="2"/>
  <c r="AN3" i="2"/>
  <c r="AB3" i="2"/>
  <c r="AQ3" i="2"/>
  <c r="AE3" i="2"/>
  <c r="AF8" i="2"/>
  <c r="AR8" i="2"/>
  <c r="AM7" i="2"/>
  <c r="AA17" i="2"/>
  <c r="AM17" i="2"/>
  <c r="AF5" i="2"/>
  <c r="AR5" i="2"/>
  <c r="AM8" i="2"/>
  <c r="AA11" i="2"/>
  <c r="AM11" i="2"/>
  <c r="AH10" i="2"/>
  <c r="AT10" i="2"/>
  <c r="AH13" i="2"/>
  <c r="AC11" i="2"/>
  <c r="AO11" i="2"/>
  <c r="AF9" i="2"/>
  <c r="AR9" i="2"/>
  <c r="AM6" i="2"/>
  <c r="AM5" i="2"/>
  <c r="AT4" i="2"/>
  <c r="AO3" i="2"/>
  <c r="AC3" i="2"/>
  <c r="AE7" i="2"/>
  <c r="AQ7" i="2"/>
  <c r="AE6" i="2"/>
  <c r="AQ6" i="2"/>
  <c r="AG17" i="2"/>
  <c r="AS17" i="2"/>
  <c r="AS5" i="2"/>
  <c r="AH5" i="2"/>
  <c r="AT5" i="2"/>
  <c r="AH6" i="2"/>
  <c r="AT6" i="2"/>
  <c r="AQ8" i="2"/>
  <c r="AD7" i="2"/>
  <c r="AP7" i="2"/>
  <c r="AS6" i="2"/>
  <c r="AR4" i="2"/>
  <c r="AG8" i="2"/>
  <c r="AS8" i="2"/>
  <c r="AG14" i="2"/>
  <c r="AS14" i="2"/>
  <c r="AD11" i="2"/>
  <c r="AP11" i="2"/>
  <c r="AC13" i="2"/>
  <c r="AE10" i="2"/>
  <c r="AQ10" i="2"/>
  <c r="AD9" i="2"/>
  <c r="AP9" i="2"/>
  <c r="AS7" i="2"/>
  <c r="AO5" i="2"/>
  <c r="AA12" i="2"/>
  <c r="AS3" i="2"/>
  <c r="AG3" i="2"/>
  <c r="AH7" i="2"/>
  <c r="AT7" i="2"/>
  <c r="AD6" i="2"/>
  <c r="AP6" i="2"/>
  <c r="AF6" i="2"/>
  <c r="AR6" i="2"/>
  <c r="AA4" i="2"/>
  <c r="AM4" i="2"/>
  <c r="AE4" i="2"/>
  <c r="AQ4" i="2"/>
  <c r="AC4" i="2"/>
  <c r="AO4" i="2"/>
  <c r="AD5" i="2"/>
  <c r="AP5" i="2"/>
  <c r="AC18" i="2"/>
  <c r="AO18" i="2"/>
  <c r="AS9" i="2"/>
  <c r="AE11" i="2"/>
  <c r="AQ11" i="2"/>
  <c r="AA10" i="2"/>
  <c r="AM10" i="2"/>
  <c r="AF11" i="2"/>
  <c r="AR11" i="2"/>
  <c r="AH9" i="2"/>
  <c r="AT9" i="2"/>
  <c r="AD18" i="2"/>
  <c r="AP18" i="2"/>
  <c r="AE5" i="2"/>
  <c r="AQ5" i="2"/>
  <c r="AD4" i="2"/>
  <c r="AP4" i="2"/>
  <c r="AF12" i="2"/>
  <c r="AH12" i="2"/>
  <c r="AR3" i="2"/>
  <c r="AF3" i="2"/>
  <c r="AP3" i="2"/>
  <c r="AD3" i="2"/>
  <c r="AC6" i="2"/>
  <c r="AE9" i="2"/>
  <c r="AG4" i="2"/>
  <c r="AB8" i="2"/>
  <c r="AG5" i="2"/>
  <c r="AB4" i="2"/>
  <c r="AB5" i="2"/>
  <c r="AC8" i="2"/>
  <c r="AD10" i="2"/>
  <c r="AC12" i="2"/>
  <c r="AB12" i="2"/>
  <c r="AB7" i="2"/>
  <c r="AA7" i="2"/>
  <c r="AC7" i="2"/>
  <c r="AA8" i="2"/>
  <c r="AC14" i="2"/>
  <c r="AF13" i="2"/>
  <c r="AB9" i="2"/>
  <c r="AA6" i="2"/>
  <c r="AA5" i="2"/>
  <c r="AH4" i="2"/>
  <c r="AG12" i="2"/>
  <c r="AE8" i="2"/>
  <c r="AG6" i="2"/>
  <c r="AF4" i="2"/>
  <c r="AD8" i="2"/>
  <c r="AG7" i="2"/>
  <c r="AB6" i="2"/>
  <c r="AC5" i="2"/>
  <c r="AG9" i="2"/>
  <c r="AH14" i="2"/>
  <c r="AB13" i="2"/>
  <c r="AB14" i="2"/>
  <c r="AE12" i="2"/>
  <c r="C30" i="2"/>
  <c r="L30" i="2" s="1"/>
  <c r="D36" i="2"/>
  <c r="D24" i="2"/>
  <c r="C24" i="2"/>
  <c r="C36" i="2"/>
  <c r="C18" i="2"/>
  <c r="L18" i="2" s="1"/>
  <c r="M18" i="2" s="1"/>
  <c r="C33" i="2"/>
  <c r="L33" i="2" s="1"/>
  <c r="C21" i="2"/>
  <c r="L21" i="2" s="1"/>
  <c r="M21" i="2" s="1"/>
  <c r="D29" i="2"/>
  <c r="D17" i="2"/>
  <c r="C31" i="2"/>
  <c r="C19" i="2"/>
  <c r="C29" i="2"/>
  <c r="C17" i="2"/>
  <c r="D35" i="2"/>
  <c r="D23" i="2"/>
  <c r="C35" i="2"/>
  <c r="C23" i="2"/>
  <c r="D19" i="2"/>
  <c r="D31" i="2"/>
  <c r="D32" i="2"/>
  <c r="D20" i="2"/>
  <c r="C34" i="2"/>
  <c r="L34" i="2" s="1"/>
  <c r="C22" i="2"/>
  <c r="L22" i="2" s="1"/>
  <c r="M22" i="2" s="1"/>
  <c r="C32" i="2"/>
  <c r="C20" i="2"/>
  <c r="I61" i="29"/>
  <c r="AI3" i="2" l="1"/>
  <c r="AU14" i="2"/>
  <c r="AW14" i="2" s="1"/>
  <c r="AI17" i="2"/>
  <c r="AK17" i="2" s="1"/>
  <c r="AU10" i="2"/>
  <c r="AW10" i="2" s="1"/>
  <c r="AU13" i="2"/>
  <c r="AW13" i="2" s="1"/>
  <c r="AI18" i="2"/>
  <c r="AK18" i="2" s="1"/>
  <c r="AI10" i="2"/>
  <c r="AK10" i="2" s="1"/>
  <c r="AU3" i="2"/>
  <c r="AW3" i="2" s="1"/>
  <c r="L23" i="2"/>
  <c r="M23" i="2" s="1"/>
  <c r="AI11" i="2"/>
  <c r="AK11" i="2" s="1"/>
  <c r="AU17" i="2"/>
  <c r="AW17" i="2" s="1"/>
  <c r="AK3" i="2"/>
  <c r="AU78" i="2"/>
  <c r="AW78" i="2" s="1"/>
  <c r="AU101" i="2"/>
  <c r="AW101" i="2" s="1"/>
  <c r="AU89" i="2"/>
  <c r="AW89" i="2" s="1"/>
  <c r="AU108" i="2"/>
  <c r="AW108" i="2" s="1"/>
  <c r="AU96" i="2"/>
  <c r="AW96" i="2" s="1"/>
  <c r="AU85" i="2"/>
  <c r="AW85" i="2" s="1"/>
  <c r="AU104" i="2"/>
  <c r="AW104" i="2" s="1"/>
  <c r="AU91" i="2"/>
  <c r="AW91" i="2" s="1"/>
  <c r="AU77" i="2"/>
  <c r="AW77" i="2" s="1"/>
  <c r="AU12" i="2"/>
  <c r="AW12" i="2" s="1"/>
  <c r="AU5" i="2"/>
  <c r="AW5" i="2" s="1"/>
  <c r="AU8" i="2"/>
  <c r="AW8" i="2" s="1"/>
  <c r="AU76" i="2"/>
  <c r="AW76" i="2" s="1"/>
  <c r="AU109" i="2"/>
  <c r="AW109" i="2" s="1"/>
  <c r="AU98" i="2"/>
  <c r="AW98" i="2" s="1"/>
  <c r="AU87" i="2"/>
  <c r="AW87" i="2" s="1"/>
  <c r="AU105" i="2"/>
  <c r="AW105" i="2" s="1"/>
  <c r="AU93" i="2"/>
  <c r="AW93" i="2" s="1"/>
  <c r="AU82" i="2"/>
  <c r="AW82" i="2" s="1"/>
  <c r="AU100" i="2"/>
  <c r="AW100" i="2" s="1"/>
  <c r="AU86" i="2"/>
  <c r="AW86" i="2" s="1"/>
  <c r="AU75" i="2"/>
  <c r="AW75" i="2" s="1"/>
  <c r="AU6" i="2"/>
  <c r="AW6" i="2" s="1"/>
  <c r="AU7" i="2"/>
  <c r="AW7" i="2" s="1"/>
  <c r="AU107" i="2"/>
  <c r="AW107" i="2" s="1"/>
  <c r="AU95" i="2"/>
  <c r="AW95" i="2" s="1"/>
  <c r="AU83" i="2"/>
  <c r="AW83" i="2" s="1"/>
  <c r="AU102" i="2"/>
  <c r="AW102" i="2" s="1"/>
  <c r="AU90" i="2"/>
  <c r="AW90" i="2" s="1"/>
  <c r="AU79" i="2"/>
  <c r="AW79" i="2" s="1"/>
  <c r="AU97" i="2"/>
  <c r="AW97" i="2" s="1"/>
  <c r="AU84" i="2"/>
  <c r="AW84" i="2" s="1"/>
  <c r="AU9" i="2"/>
  <c r="AW9" i="2" s="1"/>
  <c r="AU18" i="2"/>
  <c r="AW18" i="2" s="1"/>
  <c r="AU4" i="2"/>
  <c r="AW4" i="2" s="1"/>
  <c r="AU11" i="2"/>
  <c r="AW11" i="2" s="1"/>
  <c r="AU110" i="2"/>
  <c r="AW110" i="2" s="1"/>
  <c r="AU103" i="2"/>
  <c r="AW103" i="2" s="1"/>
  <c r="AU92" i="2"/>
  <c r="AW92" i="2" s="1"/>
  <c r="AU80" i="2"/>
  <c r="AW80" i="2" s="1"/>
  <c r="AU99" i="2"/>
  <c r="AW99" i="2" s="1"/>
  <c r="AU88" i="2"/>
  <c r="AW88" i="2" s="1"/>
  <c r="AU106" i="2"/>
  <c r="AW106" i="2" s="1"/>
  <c r="AU94" i="2"/>
  <c r="AW94" i="2" s="1"/>
  <c r="AU81" i="2"/>
  <c r="AW81" i="2" s="1"/>
  <c r="AI13" i="2"/>
  <c r="AK13" i="2" s="1"/>
  <c r="AI4" i="2"/>
  <c r="AK4" i="2" s="1"/>
  <c r="AI9" i="2"/>
  <c r="AK9" i="2" s="1"/>
  <c r="AI12" i="2"/>
  <c r="AK12" i="2" s="1"/>
  <c r="AI8" i="2"/>
  <c r="AK8" i="2" s="1"/>
  <c r="AI5" i="2"/>
  <c r="AK5" i="2" s="1"/>
  <c r="AI14" i="2"/>
  <c r="AK14" i="2" s="1"/>
  <c r="AI6" i="2"/>
  <c r="AK6" i="2" s="1"/>
  <c r="AI7" i="2"/>
  <c r="AK7" i="2" s="1"/>
  <c r="C38" i="2"/>
  <c r="D38" i="2"/>
  <c r="L36" i="2"/>
  <c r="L32" i="2"/>
  <c r="L35" i="2"/>
  <c r="L24" i="2"/>
  <c r="M24" i="2" s="1"/>
  <c r="L20" i="2"/>
  <c r="M20" i="2" s="1"/>
  <c r="C26" i="2"/>
  <c r="C25" i="2"/>
  <c r="L17" i="2"/>
  <c r="L31" i="2"/>
  <c r="D37" i="2"/>
  <c r="C37" i="2"/>
  <c r="L29" i="2"/>
  <c r="L19" i="2"/>
  <c r="M19" i="2" s="1"/>
  <c r="D26" i="2"/>
  <c r="D25" i="2"/>
  <c r="I62" i="29"/>
  <c r="G63" i="29"/>
  <c r="L38" i="2" l="1"/>
  <c r="L37" i="2"/>
  <c r="L25" i="2"/>
  <c r="M25" i="2" s="1"/>
  <c r="M17" i="2"/>
  <c r="L26" i="2"/>
  <c r="M26" i="2" s="1"/>
  <c r="D60" i="29"/>
  <c r="I63" i="29"/>
  <c r="D39" i="29" l="1"/>
</calcChain>
</file>

<file path=xl/comments1.xml><?xml version="1.0" encoding="utf-8"?>
<comments xmlns="http://schemas.openxmlformats.org/spreadsheetml/2006/main">
  <authors>
    <author>Chris Priddy</author>
  </authors>
  <commentList>
    <comment ref="F2" authorId="0" shapeId="0">
      <text>
        <r>
          <rPr>
            <b/>
            <sz val="9"/>
            <color indexed="81"/>
            <rFont val="Tahoma"/>
            <family val="2"/>
          </rPr>
          <t>Chris Priddy:</t>
        </r>
        <r>
          <rPr>
            <sz val="9"/>
            <color indexed="81"/>
            <rFont val="Tahoma"/>
            <family val="2"/>
          </rPr>
          <t xml:space="preserve">
Exclude can appear anywhere within the text string. For example: 'Baptism - Exclude' or
'Exclude this service'</t>
        </r>
      </text>
    </comment>
  </commentList>
</comments>
</file>

<file path=xl/comments2.xml><?xml version="1.0" encoding="utf-8"?>
<comments xmlns="http://schemas.openxmlformats.org/spreadsheetml/2006/main">
  <authors>
    <author>Chris Priddy</author>
  </authors>
  <commentList>
    <comment ref="Y1" authorId="0" shapeId="0">
      <text>
        <r>
          <rPr>
            <b/>
            <sz val="9"/>
            <color indexed="81"/>
            <rFont val="Tahoma"/>
            <family val="2"/>
          </rPr>
          <t>Chris Priddy:</t>
        </r>
        <r>
          <rPr>
            <sz val="9"/>
            <color indexed="81"/>
            <rFont val="Tahoma"/>
            <family val="2"/>
          </rPr>
          <t xml:space="preserve">
Data hidden by text font colour white Y:AL
This data processes the graphs in Report</t>
        </r>
      </text>
    </comment>
    <comment ref="AI1" authorId="0" shapeId="0">
      <text>
        <r>
          <rPr>
            <b/>
            <sz val="9"/>
            <color indexed="81"/>
            <rFont val="Tahoma"/>
            <family val="2"/>
          </rPr>
          <t>Chris Priddy:</t>
        </r>
        <r>
          <rPr>
            <sz val="9"/>
            <color indexed="81"/>
            <rFont val="Tahoma"/>
            <family val="2"/>
          </rPr>
          <t xml:space="preserve">
Excludes school services
</t>
        </r>
      </text>
    </comment>
    <comment ref="AU1" authorId="0" shapeId="0">
      <text>
        <r>
          <rPr>
            <b/>
            <sz val="9"/>
            <color indexed="81"/>
            <rFont val="Tahoma"/>
            <family val="2"/>
          </rPr>
          <t>Chris Priddy:</t>
        </r>
        <r>
          <rPr>
            <sz val="9"/>
            <color indexed="81"/>
            <rFont val="Tahoma"/>
            <family val="2"/>
          </rPr>
          <t xml:space="preserve">
Excludes school services
</t>
        </r>
      </text>
    </comment>
  </commentList>
</comments>
</file>

<file path=xl/comments3.xml><?xml version="1.0" encoding="utf-8"?>
<comments xmlns="http://schemas.openxmlformats.org/spreadsheetml/2006/main">
  <authors>
    <author>Chris Priddy</author>
  </authors>
  <commentList>
    <comment ref="I9" authorId="0" shapeId="0">
      <text>
        <r>
          <rPr>
            <b/>
            <sz val="9"/>
            <color indexed="81"/>
            <rFont val="Tahoma"/>
            <family val="2"/>
          </rPr>
          <t>Chris Priddy:</t>
        </r>
        <r>
          <rPr>
            <sz val="9"/>
            <color indexed="81"/>
            <rFont val="Tahoma"/>
            <family val="2"/>
          </rPr>
          <t xml:space="preserve">
This calculation excludes:
Easter Sunday
Remembrance Sunday
The Sunday before Christmas
Christmas day (if it was a Sunday)
Any service marked as 'Exclude'
Any service marked as 'Harvest'</t>
        </r>
      </text>
    </comment>
    <comment ref="I23" authorId="0" shapeId="0">
      <text>
        <r>
          <rPr>
            <b/>
            <sz val="9"/>
            <color indexed="81"/>
            <rFont val="Tahoma"/>
            <family val="2"/>
          </rPr>
          <t>Chris Priddy:</t>
        </r>
        <r>
          <rPr>
            <sz val="9"/>
            <color indexed="81"/>
            <rFont val="Tahoma"/>
            <family val="2"/>
          </rPr>
          <t xml:space="preserve">
SUM of all attendances at services in Advent EXCLUDING those that were School Services or marked as Civic Services</t>
        </r>
      </text>
    </comment>
    <comment ref="I25" authorId="0" shapeId="0">
      <text>
        <r>
          <rPr>
            <b/>
            <sz val="9"/>
            <color indexed="81"/>
            <rFont val="Tahoma"/>
            <family val="2"/>
          </rPr>
          <t>Chris Priddy:</t>
        </r>
        <r>
          <rPr>
            <sz val="9"/>
            <color indexed="81"/>
            <rFont val="Tahoma"/>
            <family val="2"/>
          </rPr>
          <t xml:space="preserve">
This counts the number of attendances at services which were SCHOOL SERVICES or had the word 'CIVIC' in the notes column of DATA INPUT</t>
        </r>
      </text>
    </comment>
  </commentList>
</comments>
</file>

<file path=xl/sharedStrings.xml><?xml version="1.0" encoding="utf-8"?>
<sst xmlns="http://schemas.openxmlformats.org/spreadsheetml/2006/main" count="292" uniqueCount="134">
  <si>
    <t>Date</t>
  </si>
  <si>
    <t>Service</t>
  </si>
  <si>
    <t>TOTAL</t>
  </si>
  <si>
    <t>Unusual</t>
  </si>
  <si>
    <t>chris.priddy@bristoldiocese.org</t>
  </si>
  <si>
    <t>Password on all sheets = 1234</t>
  </si>
  <si>
    <t>Adult Attendance</t>
  </si>
  <si>
    <t>U16 Attendance</t>
  </si>
  <si>
    <t>Total Attendance</t>
  </si>
  <si>
    <t>Select service:</t>
  </si>
  <si>
    <t>Select Year:</t>
  </si>
  <si>
    <t>Avg/Yr</t>
  </si>
  <si>
    <t>Jan</t>
  </si>
  <si>
    <t>Feb</t>
  </si>
  <si>
    <t>Mar</t>
  </si>
  <si>
    <t>Apr</t>
  </si>
  <si>
    <t>May</t>
  </si>
  <si>
    <t>Jun</t>
  </si>
  <si>
    <t>Jul</t>
  </si>
  <si>
    <t>Aug</t>
  </si>
  <si>
    <t>Sep</t>
  </si>
  <si>
    <t>Oct</t>
  </si>
  <si>
    <t>Nov</t>
  </si>
  <si>
    <t>Dec</t>
  </si>
  <si>
    <t>2. How many people attend your church on a usual Sunday, when there is a service?</t>
  </si>
  <si>
    <t>2a. Adults (16 years old and over)</t>
  </si>
  <si>
    <t xml:space="preserve">2b. Children and young people (under 16 years old) </t>
  </si>
  <si>
    <t>3a: Number of communicants at service(s) on Easter Day and vigil service on Easter Eve</t>
  </si>
  <si>
    <t xml:space="preserve">3b. Total number of people attending worship (including communicants) at service(s) on Easter Day and vigil service on Easter Eve </t>
  </si>
  <si>
    <t xml:space="preserve">4b. Total number of people attending special services held specifically for civic organisations or schools  </t>
  </si>
  <si>
    <t>4a. Total number of people attending special services held for the congregation and local community</t>
  </si>
  <si>
    <t>5a. Number of communicants at service(s) on Christmas Eve and Christmas Day</t>
  </si>
  <si>
    <t xml:space="preserve">5b. Total number of people attending worship (including communicants) at service(s) on Christmas Eve and Christmas Day </t>
  </si>
  <si>
    <t>8. How many people were in your “worshipping community” at the end of the year?</t>
  </si>
  <si>
    <t>Children (Age 0-10)</t>
  </si>
  <si>
    <t>Young people (Age 11-17)</t>
  </si>
  <si>
    <t>Adults (Age 18-69)</t>
  </si>
  <si>
    <t>Adults (Age 70+)</t>
  </si>
  <si>
    <t>Under 16's</t>
  </si>
  <si>
    <t>Adults</t>
  </si>
  <si>
    <t>This year</t>
  </si>
  <si>
    <t>Last year</t>
  </si>
  <si>
    <t>Statistics for Mission Annual Return</t>
  </si>
  <si>
    <t>4a</t>
  </si>
  <si>
    <t>4b</t>
  </si>
  <si>
    <t>5a</t>
  </si>
  <si>
    <t>5b</t>
  </si>
  <si>
    <t>2a</t>
  </si>
  <si>
    <t>2b</t>
  </si>
  <si>
    <t>3a</t>
  </si>
  <si>
    <t>3b</t>
  </si>
  <si>
    <t>Total</t>
  </si>
  <si>
    <t>8a</t>
  </si>
  <si>
    <t>8b</t>
  </si>
  <si>
    <t>8c</t>
  </si>
  <si>
    <t>8d</t>
  </si>
  <si>
    <t>8e</t>
  </si>
  <si>
    <r>
      <t xml:space="preserve">Total </t>
    </r>
    <r>
      <rPr>
        <i/>
        <sz val="11"/>
        <color theme="1"/>
        <rFont val="Calibri"/>
        <family val="2"/>
        <scheme val="minor"/>
      </rPr>
      <t>(8a)</t>
    </r>
  </si>
  <si>
    <t xml:space="preserve"> </t>
  </si>
  <si>
    <t>Nuber of services</t>
  </si>
  <si>
    <t>Sunday</t>
  </si>
  <si>
    <t>Midweek</t>
  </si>
  <si>
    <t>U16's</t>
  </si>
  <si>
    <t>Church</t>
  </si>
  <si>
    <t>Fx</t>
  </si>
  <si>
    <t>School service</t>
  </si>
  <si>
    <t>Change</t>
  </si>
  <si>
    <t>w/b</t>
  </si>
  <si>
    <t>6. How many people attended your church in October?</t>
  </si>
  <si>
    <t>Remembrance</t>
  </si>
  <si>
    <t>Name of Church:</t>
  </si>
  <si>
    <t>List of services:</t>
  </si>
  <si>
    <t>10:30</t>
  </si>
  <si>
    <t>Easter Day</t>
  </si>
  <si>
    <t>Easter Eve</t>
  </si>
  <si>
    <t>WorshipCom</t>
  </si>
  <si>
    <t>TOTAL U16</t>
  </si>
  <si>
    <t>TOTAL Adult</t>
  </si>
  <si>
    <t>School Service</t>
  </si>
  <si>
    <t>Fresh Expression</t>
  </si>
  <si>
    <t>Select if School/Fx</t>
  </si>
  <si>
    <r>
      <t>Notes</t>
    </r>
    <r>
      <rPr>
        <sz val="8"/>
        <color theme="1"/>
        <rFont val="Arial"/>
        <family val="2"/>
      </rPr>
      <t xml:space="preserve">
(Type 'Exclude' in this column to exclude the figures from all calculations)</t>
    </r>
  </si>
  <si>
    <t>Exclude</t>
  </si>
  <si>
    <t>Total no. of services held</t>
  </si>
  <si>
    <t>Total attendances at services</t>
  </si>
  <si>
    <t>Avg. attendance at services ALL AGE</t>
  </si>
  <si>
    <t>Avg. attendance at services ADULT</t>
  </si>
  <si>
    <t>Avg. attendance at services U16</t>
  </si>
  <si>
    <t>Yes</t>
  </si>
  <si>
    <t>No</t>
  </si>
  <si>
    <t>Include 'Excluded' figures in statistics tables and graphs?</t>
  </si>
  <si>
    <t>Total (all services)</t>
  </si>
  <si>
    <t>Total (excluding 'School services')</t>
  </si>
  <si>
    <t>Figures presented here are calculated from the DATA INPUT sheet. There is room for error and inacuraccy within this way of calculating, so please check the accuracy of the figures before submitting your parish return.</t>
  </si>
  <si>
    <t>Produced by Chris Priddy, 2018</t>
  </si>
  <si>
    <t>MidWk start</t>
  </si>
  <si>
    <t>MidWk end</t>
  </si>
  <si>
    <t>ChristmasEve</t>
  </si>
  <si>
    <t>CHristmasDay</t>
  </si>
  <si>
    <t>AdventStart</t>
  </si>
  <si>
    <t>AdventEnd</t>
  </si>
  <si>
    <t>SelectedYr</t>
  </si>
  <si>
    <t>UsualSunday</t>
  </si>
  <si>
    <t>Adults ALL</t>
  </si>
  <si>
    <t>Children ALL</t>
  </si>
  <si>
    <t>Adults EXC</t>
  </si>
  <si>
    <t>Children EXC</t>
  </si>
  <si>
    <t>Calculated here by taking total attendances at all services for the year, dividied by weeks/year. This should account for those who attend more than one service per week, balanced against those who attend less than once a month.</t>
  </si>
  <si>
    <t>U16</t>
  </si>
  <si>
    <t>Weeks/Yr</t>
  </si>
  <si>
    <t>Year</t>
  </si>
  <si>
    <t>YrStart</t>
  </si>
  <si>
    <t>YrEnd</t>
  </si>
  <si>
    <t>This can be toggled on/off using the 'Include excluded figures Yes/No' toggle.</t>
  </si>
  <si>
    <t>When entering data:</t>
  </si>
  <si>
    <t>Use the word 'Exclude' in the notes column to exclude these services from calculations.</t>
  </si>
  <si>
    <t>The spreadsheet is designed to process the data from 3000 services. Exceeding this will require formula editing throughout.</t>
  </si>
  <si>
    <t>Include 'Excluded' figures?:</t>
  </si>
  <si>
    <t>Enter the name of your church into the box above and the names of up to 8 services.</t>
  </si>
  <si>
    <t>Services marked as 'School Service' will not feature in any calculations/graphs, but will show in the Stats for Mission OUTPUT</t>
  </si>
  <si>
    <t>Services marked as 'Fresh Expression' will feature in calculations/graphs and the Stats for Mission OUTPUT</t>
  </si>
  <si>
    <t>Use the word 'Civic' in the notes column for serives during Advent to be included in your SfM output report (question 4b).</t>
  </si>
  <si>
    <t xml:space="preserve">#Usual Sundays </t>
  </si>
  <si>
    <t>Harvest</t>
  </si>
  <si>
    <t>Please use the word 'Harvest' in the notes column for your harvest fesitval, this will be exluded from your USA calculation.</t>
  </si>
  <si>
    <t>Usual Sunday Criteria</t>
  </si>
  <si>
    <t>Christmas</t>
  </si>
  <si>
    <t>Easter Sunday</t>
  </si>
  <si>
    <t>&lt;&gt;"Harvest"</t>
  </si>
  <si>
    <t>&lt;&gt;"Exclude"</t>
  </si>
  <si>
    <t>#Usual Sundays EXC</t>
  </si>
  <si>
    <t>3. How many people came to your church at Easter?</t>
  </si>
  <si>
    <r>
      <t>4. How many people came to special services run by your church during Advent?</t>
    </r>
    <r>
      <rPr>
        <i/>
        <sz val="11"/>
        <color theme="1"/>
        <rFont val="Calibri"/>
        <family val="2"/>
        <scheme val="minor"/>
      </rPr>
      <t xml:space="preserve"> 
Include attendance at special services run by your church from Advent Sunday until 23rd December, for example nativities, carol services, carols on the green, crib services</t>
    </r>
  </si>
  <si>
    <t>5. How many people came to your church at Christmas?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</si>
</sst>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
  </numFmts>
  <fonts count="45" x14ac:knownFonts="1">
    <font>
      <sz val="11"/>
      <color theme="1"/>
      <name val="Calibri"/>
      <family val="2"/>
      <scheme val="minor"/>
    </font>
    <font>
      <b/>
      <sz val="11"/>
      <color theme="1"/>
      <name val="Calibri"/>
      <family val="2"/>
      <scheme val="minor"/>
    </font>
    <font>
      <b/>
      <i/>
      <sz val="11"/>
      <color theme="1"/>
      <name val="Calibri"/>
      <family val="2"/>
      <scheme val="minor"/>
    </font>
    <font>
      <sz val="11"/>
      <color theme="1"/>
      <name val="Calibri"/>
      <family val="2"/>
      <scheme val="minor"/>
    </font>
    <font>
      <b/>
      <sz val="14"/>
      <color theme="1"/>
      <name val="Calibri"/>
      <family val="2"/>
      <scheme val="minor"/>
    </font>
    <font>
      <sz val="11"/>
      <color theme="1"/>
      <name val="Arial"/>
      <family val="2"/>
    </font>
    <font>
      <i/>
      <sz val="11"/>
      <color theme="1"/>
      <name val="Arial"/>
      <family val="2"/>
    </font>
    <font>
      <b/>
      <sz val="11"/>
      <color theme="1"/>
      <name val="Arial"/>
      <family val="2"/>
    </font>
    <font>
      <b/>
      <sz val="14"/>
      <color theme="1"/>
      <name val="Gill Sans MT"/>
      <family val="2"/>
    </font>
    <font>
      <sz val="11"/>
      <name val="Calibri"/>
      <family val="2"/>
      <scheme val="minor"/>
    </font>
    <font>
      <u/>
      <sz val="11"/>
      <color theme="10"/>
      <name val="Calibri"/>
      <family val="2"/>
      <scheme val="minor"/>
    </font>
    <font>
      <sz val="11"/>
      <color theme="0"/>
      <name val="Arial"/>
      <family val="2"/>
    </font>
    <font>
      <sz val="10"/>
      <color theme="1"/>
      <name val="Arial"/>
      <family val="2"/>
    </font>
    <font>
      <sz val="8"/>
      <color theme="1"/>
      <name val="Arial"/>
      <family val="2"/>
    </font>
    <font>
      <b/>
      <sz val="10"/>
      <color theme="1"/>
      <name val="Arial"/>
      <family val="2"/>
    </font>
    <font>
      <b/>
      <sz val="11"/>
      <name val="Calibri"/>
      <family val="2"/>
      <scheme val="minor"/>
    </font>
    <font>
      <i/>
      <sz val="11"/>
      <color theme="1"/>
      <name val="Calibri"/>
      <family val="2"/>
      <scheme val="minor"/>
    </font>
    <font>
      <i/>
      <sz val="9"/>
      <color theme="1"/>
      <name val="Calibri"/>
      <family val="2"/>
      <scheme val="minor"/>
    </font>
    <font>
      <b/>
      <sz val="10"/>
      <color theme="1"/>
      <name val="Calibri"/>
      <family val="2"/>
      <scheme val="minor"/>
    </font>
    <font>
      <sz val="11"/>
      <color rgb="FFFF0000"/>
      <name val="Calibri"/>
      <family val="2"/>
      <scheme val="minor"/>
    </font>
    <font>
      <b/>
      <sz val="12"/>
      <color theme="0"/>
      <name val="Calibri"/>
      <family val="2"/>
      <scheme val="minor"/>
    </font>
    <font>
      <b/>
      <sz val="11"/>
      <color rgb="FFFF0000"/>
      <name val="Calibri"/>
      <family val="2"/>
      <scheme val="minor"/>
    </font>
    <font>
      <sz val="10"/>
      <color rgb="FFFF0000"/>
      <name val="Calibri"/>
      <family val="2"/>
      <scheme val="minor"/>
    </font>
    <font>
      <b/>
      <sz val="11"/>
      <color theme="0"/>
      <name val="Calibri"/>
      <family val="2"/>
      <scheme val="minor"/>
    </font>
    <font>
      <sz val="11"/>
      <color theme="0"/>
      <name val="Calibri"/>
      <family val="2"/>
      <scheme val="minor"/>
    </font>
    <font>
      <b/>
      <sz val="8"/>
      <color theme="1"/>
      <name val="Arial"/>
      <family val="2"/>
    </font>
    <font>
      <sz val="9"/>
      <color indexed="81"/>
      <name val="Tahoma"/>
      <family val="2"/>
    </font>
    <font>
      <b/>
      <sz val="9"/>
      <color indexed="81"/>
      <name val="Tahoma"/>
      <family val="2"/>
    </font>
    <font>
      <sz val="8"/>
      <color theme="1"/>
      <name val="Calibri"/>
      <family val="2"/>
      <scheme val="minor"/>
    </font>
    <font>
      <b/>
      <sz val="10"/>
      <color theme="0"/>
      <name val="Calibri"/>
      <family val="2"/>
      <scheme val="minor"/>
    </font>
    <font>
      <b/>
      <sz val="14"/>
      <name val="Calibri"/>
      <family val="2"/>
      <scheme val="minor"/>
    </font>
    <font>
      <b/>
      <sz val="14"/>
      <color theme="0"/>
      <name val="Calibri"/>
      <family val="2"/>
      <scheme val="minor"/>
    </font>
    <font>
      <b/>
      <sz val="14"/>
      <color rgb="FFFF0000"/>
      <name val="Calibri"/>
      <family val="2"/>
      <scheme val="minor"/>
    </font>
    <font>
      <b/>
      <i/>
      <sz val="11"/>
      <color theme="0"/>
      <name val="Calibri"/>
      <family val="2"/>
      <scheme val="minor"/>
    </font>
    <font>
      <sz val="10"/>
      <color theme="1"/>
      <name val="Calibri"/>
      <family val="2"/>
      <scheme val="minor"/>
    </font>
    <font>
      <sz val="9"/>
      <color theme="0"/>
      <name val="Calibri"/>
      <family val="2"/>
      <scheme val="minor"/>
    </font>
    <font>
      <i/>
      <sz val="9"/>
      <color theme="0"/>
      <name val="Calibri"/>
      <family val="2"/>
      <scheme val="minor"/>
    </font>
    <font>
      <i/>
      <sz val="11"/>
      <color theme="0"/>
      <name val="Calibri"/>
      <family val="2"/>
      <scheme val="minor"/>
    </font>
    <font>
      <b/>
      <sz val="11"/>
      <color theme="0"/>
      <name val="Calibri"/>
      <family val="2"/>
    </font>
    <font>
      <sz val="11"/>
      <color theme="0"/>
      <name val="Calibri"/>
      <family val="2"/>
    </font>
    <font>
      <b/>
      <i/>
      <sz val="11"/>
      <color theme="0"/>
      <name val="Calibri"/>
      <family val="2"/>
    </font>
    <font>
      <i/>
      <sz val="11"/>
      <color theme="0"/>
      <name val="Calibri"/>
      <family val="2"/>
    </font>
    <font>
      <b/>
      <sz val="11"/>
      <name val="Calibri"/>
      <family val="2"/>
    </font>
    <font>
      <sz val="11"/>
      <name val="Calibri"/>
      <family val="2"/>
    </font>
    <font>
      <i/>
      <sz val="11"/>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bgColor indexed="64"/>
      </patternFill>
    </fill>
    <fill>
      <patternFill patternType="solid">
        <fgColor theme="6" tint="-0.249977111117893"/>
        <bgColor indexed="64"/>
      </patternFill>
    </fill>
    <fill>
      <patternFill patternType="solid">
        <fgColor theme="9"/>
        <bgColor indexed="64"/>
      </patternFill>
    </fill>
    <fill>
      <patternFill patternType="solid">
        <fgColor theme="9" tint="0.79998168889431442"/>
        <bgColor indexed="64"/>
      </patternFill>
    </fill>
    <fill>
      <patternFill patternType="lightUp">
        <fgColor theme="0" tint="-0.34998626667073579"/>
        <bgColor indexed="65"/>
      </patternFill>
    </fill>
  </fills>
  <borders count="25">
    <border>
      <left/>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right/>
      <top style="thin">
        <color indexed="64"/>
      </top>
      <bottom style="thin">
        <color indexed="64"/>
      </bottom>
      <diagonal/>
    </border>
    <border>
      <left style="thin">
        <color indexed="64"/>
      </left>
      <right style="thin">
        <color indexed="64"/>
      </right>
      <top/>
      <bottom style="medium">
        <color auto="1"/>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tint="0.499984740745262"/>
      </left>
      <right/>
      <top/>
      <bottom/>
      <diagonal/>
    </border>
  </borders>
  <cellStyleXfs count="4">
    <xf numFmtId="0" fontId="0" fillId="0" borderId="0"/>
    <xf numFmtId="9" fontId="3" fillId="0" borderId="0" applyFont="0" applyFill="0" applyBorder="0" applyAlignment="0" applyProtection="0"/>
    <xf numFmtId="0" fontId="10" fillId="0" borderId="0" applyNumberFormat="0" applyFill="0" applyBorder="0" applyAlignment="0" applyProtection="0"/>
    <xf numFmtId="43" fontId="3" fillId="0" borderId="0" applyFont="0" applyFill="0" applyBorder="0" applyAlignment="0" applyProtection="0"/>
  </cellStyleXfs>
  <cellXfs count="231">
    <xf numFmtId="0" fontId="0" fillId="0" borderId="0" xfId="0"/>
    <xf numFmtId="0" fontId="5" fillId="0" borderId="0" xfId="0" applyFont="1"/>
    <xf numFmtId="0" fontId="5" fillId="0" borderId="0" xfId="0" applyFont="1" applyFill="1"/>
    <xf numFmtId="0" fontId="6" fillId="0" borderId="0" xfId="0" applyFont="1"/>
    <xf numFmtId="14" fontId="5" fillId="0" borderId="0" xfId="0" applyNumberFormat="1" applyFont="1" applyAlignment="1">
      <alignment horizontal="center"/>
    </xf>
    <xf numFmtId="0" fontId="2" fillId="0" borderId="0" xfId="0" applyFont="1" applyFill="1" applyBorder="1"/>
    <xf numFmtId="0" fontId="1" fillId="0" borderId="0" xfId="0" applyFont="1" applyFill="1" applyBorder="1" applyAlignment="1">
      <alignment horizontal="center"/>
    </xf>
    <xf numFmtId="0" fontId="1" fillId="0" borderId="0" xfId="0" applyFont="1" applyFill="1" applyBorder="1"/>
    <xf numFmtId="0" fontId="1" fillId="3" borderId="4" xfId="0" applyFont="1" applyFill="1" applyBorder="1"/>
    <xf numFmtId="0" fontId="1" fillId="3" borderId="5" xfId="0" applyFont="1" applyFill="1" applyBorder="1" applyAlignment="1">
      <alignment horizontal="center"/>
    </xf>
    <xf numFmtId="0" fontId="2" fillId="0" borderId="0" xfId="0" applyFont="1" applyFill="1" applyBorder="1" applyAlignment="1">
      <alignment horizontal="center"/>
    </xf>
    <xf numFmtId="0" fontId="1" fillId="4" borderId="4" xfId="0" applyFont="1" applyFill="1" applyBorder="1"/>
    <xf numFmtId="0" fontId="1" fillId="0" borderId="0" xfId="0" applyFont="1"/>
    <xf numFmtId="14" fontId="5" fillId="0" borderId="11" xfId="0" applyNumberFormat="1" applyFont="1" applyBorder="1" applyAlignment="1" applyProtection="1">
      <alignment horizontal="center"/>
      <protection locked="0"/>
    </xf>
    <xf numFmtId="0" fontId="5" fillId="0" borderId="11" xfId="0" applyFont="1" applyBorder="1" applyProtection="1">
      <protection locked="0"/>
    </xf>
    <xf numFmtId="14" fontId="5"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vertical="center"/>
      <protection locked="0"/>
    </xf>
    <xf numFmtId="0" fontId="5" fillId="0" borderId="11" xfId="0" applyFont="1" applyFill="1" applyBorder="1" applyProtection="1">
      <protection locked="0"/>
    </xf>
    <xf numFmtId="0" fontId="6" fillId="0" borderId="11" xfId="0" applyFont="1" applyFill="1" applyBorder="1" applyProtection="1">
      <protection locked="0"/>
    </xf>
    <xf numFmtId="0" fontId="10" fillId="0" borderId="0" xfId="2"/>
    <xf numFmtId="0" fontId="11" fillId="0" borderId="0" xfId="0" applyFont="1"/>
    <xf numFmtId="0" fontId="1" fillId="4" borderId="5" xfId="0" applyFont="1" applyFill="1" applyBorder="1" applyAlignment="1">
      <alignment horizontal="center"/>
    </xf>
    <xf numFmtId="0" fontId="12" fillId="0" borderId="0" xfId="0" applyFont="1" applyAlignment="1">
      <alignment horizontal="center"/>
    </xf>
    <xf numFmtId="0" fontId="1" fillId="3" borderId="5" xfId="0" applyFont="1" applyFill="1" applyBorder="1" applyAlignment="1">
      <alignment horizontal="center" wrapText="1"/>
    </xf>
    <xf numFmtId="1" fontId="1" fillId="4" borderId="3" xfId="0" applyNumberFormat="1" applyFont="1" applyFill="1" applyBorder="1" applyAlignment="1">
      <alignment horizontal="center"/>
    </xf>
    <xf numFmtId="0" fontId="1" fillId="3" borderId="9" xfId="0" applyFont="1" applyFill="1" applyBorder="1" applyAlignment="1">
      <alignment horizontal="center" wrapText="1"/>
    </xf>
    <xf numFmtId="0" fontId="1" fillId="8" borderId="5" xfId="0" applyFont="1" applyFill="1" applyBorder="1" applyAlignment="1">
      <alignment horizontal="center"/>
    </xf>
    <xf numFmtId="0" fontId="1" fillId="8" borderId="5" xfId="0" applyFont="1" applyFill="1" applyBorder="1" applyAlignment="1">
      <alignment horizontal="center" wrapText="1"/>
    </xf>
    <xf numFmtId="1" fontId="1" fillId="8" borderId="3" xfId="0" applyNumberFormat="1" applyFont="1" applyFill="1" applyBorder="1" applyAlignment="1">
      <alignment horizontal="center"/>
    </xf>
    <xf numFmtId="0" fontId="1" fillId="8" borderId="4" xfId="0" applyFont="1" applyFill="1" applyBorder="1"/>
    <xf numFmtId="0" fontId="8" fillId="0" borderId="0" xfId="0" applyFont="1"/>
    <xf numFmtId="0" fontId="16" fillId="0" borderId="0" xfId="0" applyFont="1" applyAlignment="1">
      <alignment horizontal="right"/>
    </xf>
    <xf numFmtId="0" fontId="16" fillId="0" borderId="12" xfId="0" applyFont="1" applyBorder="1" applyAlignment="1">
      <alignment horizontal="center" vertical="center" wrapText="1"/>
    </xf>
    <xf numFmtId="0" fontId="16" fillId="0" borderId="0" xfId="0" applyFont="1" applyAlignment="1">
      <alignment horizontal="center"/>
    </xf>
    <xf numFmtId="14" fontId="18" fillId="0" borderId="8" xfId="0" applyNumberFormat="1" applyFont="1" applyBorder="1" applyAlignment="1">
      <alignment vertical="center"/>
    </xf>
    <xf numFmtId="0" fontId="16" fillId="0" borderId="12" xfId="0" applyFont="1" applyBorder="1"/>
    <xf numFmtId="0" fontId="12" fillId="0" borderId="11" xfId="0" applyFont="1" applyBorder="1" applyAlignment="1" applyProtection="1">
      <alignment horizontal="center"/>
    </xf>
    <xf numFmtId="1" fontId="5" fillId="0" borderId="11" xfId="0" applyNumberFormat="1" applyFont="1" applyFill="1" applyBorder="1" applyAlignment="1" applyProtection="1">
      <alignment horizontal="center"/>
      <protection locked="0"/>
    </xf>
    <xf numFmtId="1" fontId="5" fillId="0" borderId="0" xfId="0" applyNumberFormat="1" applyFont="1" applyAlignment="1">
      <alignment horizontal="center"/>
    </xf>
    <xf numFmtId="1" fontId="5" fillId="0" borderId="11" xfId="0" applyNumberFormat="1" applyFont="1" applyBorder="1" applyAlignment="1" applyProtection="1">
      <alignment horizontal="center"/>
      <protection locked="0"/>
    </xf>
    <xf numFmtId="14" fontId="7" fillId="2" borderId="11" xfId="0" applyNumberFormat="1" applyFont="1" applyFill="1" applyBorder="1" applyAlignment="1" applyProtection="1">
      <alignment horizontal="center" vertical="center" wrapText="1"/>
      <protection locked="0"/>
    </xf>
    <xf numFmtId="0" fontId="7" fillId="2" borderId="11" xfId="0" applyFont="1" applyFill="1" applyBorder="1" applyAlignment="1" applyProtection="1">
      <alignment vertical="center" wrapText="1"/>
      <protection locked="0"/>
    </xf>
    <xf numFmtId="1" fontId="14" fillId="2" borderId="11" xfId="0" applyNumberFormat="1" applyFont="1" applyFill="1" applyBorder="1" applyAlignment="1" applyProtection="1">
      <alignment horizontal="center" vertical="center" wrapText="1"/>
      <protection locked="0"/>
    </xf>
    <xf numFmtId="1" fontId="5" fillId="0" borderId="11" xfId="0" applyNumberFormat="1" applyFont="1" applyBorder="1" applyAlignment="1">
      <alignment horizontal="center"/>
    </xf>
    <xf numFmtId="49" fontId="0" fillId="0" borderId="0" xfId="0" applyNumberFormat="1" applyAlignment="1">
      <alignment horizontal="left"/>
    </xf>
    <xf numFmtId="0" fontId="4" fillId="0" borderId="0" xfId="0" applyFont="1" applyFill="1" applyBorder="1" applyAlignment="1"/>
    <xf numFmtId="49" fontId="0" fillId="4" borderId="1" xfId="0" applyNumberFormat="1" applyFont="1" applyFill="1" applyBorder="1"/>
    <xf numFmtId="0" fontId="1" fillId="3" borderId="14" xfId="0" applyFont="1" applyFill="1" applyBorder="1" applyAlignment="1">
      <alignment horizontal="center" wrapText="1"/>
    </xf>
    <xf numFmtId="1" fontId="2" fillId="3" borderId="15" xfId="0" applyNumberFormat="1" applyFont="1" applyFill="1" applyBorder="1" applyAlignment="1">
      <alignment horizontal="center"/>
    </xf>
    <xf numFmtId="1" fontId="2" fillId="3" borderId="6" xfId="0" applyNumberFormat="1" applyFont="1" applyFill="1" applyBorder="1" applyAlignment="1">
      <alignment horizontal="center"/>
    </xf>
    <xf numFmtId="1" fontId="1" fillId="3" borderId="3" xfId="0" applyNumberFormat="1" applyFont="1" applyFill="1" applyBorder="1" applyAlignment="1">
      <alignment horizontal="center"/>
    </xf>
    <xf numFmtId="1" fontId="1" fillId="3" borderId="13" xfId="0" applyNumberFormat="1" applyFont="1" applyFill="1" applyBorder="1" applyAlignment="1">
      <alignment horizontal="center"/>
    </xf>
    <xf numFmtId="49" fontId="0" fillId="3" borderId="1" xfId="0" applyNumberFormat="1" applyFont="1" applyFill="1" applyBorder="1"/>
    <xf numFmtId="49" fontId="0" fillId="8" borderId="1" xfId="0" applyNumberFormat="1" applyFont="1" applyFill="1" applyBorder="1"/>
    <xf numFmtId="0" fontId="0" fillId="0" borderId="0" xfId="0" applyFont="1" applyFill="1" applyBorder="1"/>
    <xf numFmtId="0" fontId="0" fillId="0" borderId="0" xfId="0" applyFont="1" applyFill="1" applyBorder="1" applyAlignment="1">
      <alignment horizontal="center"/>
    </xf>
    <xf numFmtId="0" fontId="0" fillId="0" borderId="0" xfId="0" applyFont="1" applyFill="1" applyBorder="1" applyAlignment="1">
      <alignment horizontal="right"/>
    </xf>
    <xf numFmtId="1" fontId="0" fillId="4" borderId="7" xfId="0" applyNumberFormat="1" applyFont="1" applyFill="1" applyBorder="1" applyAlignment="1">
      <alignment horizontal="center"/>
    </xf>
    <xf numFmtId="1" fontId="0" fillId="8" borderId="7" xfId="0" applyNumberFormat="1" applyFont="1" applyFill="1" applyBorder="1" applyAlignment="1">
      <alignment horizontal="center"/>
    </xf>
    <xf numFmtId="1" fontId="0" fillId="3" borderId="7" xfId="0" applyNumberFormat="1" applyFont="1" applyFill="1" applyBorder="1" applyAlignment="1">
      <alignment horizontal="center"/>
    </xf>
    <xf numFmtId="1" fontId="2" fillId="3" borderId="9" xfId="0" applyNumberFormat="1" applyFont="1" applyFill="1" applyBorder="1" applyAlignment="1">
      <alignment horizontal="center"/>
    </xf>
    <xf numFmtId="1" fontId="2" fillId="3" borderId="4" xfId="0" applyNumberFormat="1" applyFont="1" applyFill="1" applyBorder="1" applyAlignment="1">
      <alignment horizontal="center"/>
    </xf>
    <xf numFmtId="0" fontId="20" fillId="5" borderId="9" xfId="0" applyFont="1" applyFill="1" applyBorder="1" applyAlignment="1">
      <alignment vertical="center"/>
    </xf>
    <xf numFmtId="0" fontId="20" fillId="6" borderId="9" xfId="0" applyFont="1" applyFill="1" applyBorder="1" applyAlignment="1">
      <alignment vertical="center"/>
    </xf>
    <xf numFmtId="0" fontId="20" fillId="7" borderId="9" xfId="0" applyFont="1" applyFill="1" applyBorder="1" applyAlignment="1">
      <alignment vertical="center"/>
    </xf>
    <xf numFmtId="49" fontId="8" fillId="0" borderId="0" xfId="0" applyNumberFormat="1" applyFont="1" applyFill="1" applyBorder="1" applyAlignment="1">
      <alignment horizontal="left"/>
    </xf>
    <xf numFmtId="0" fontId="25" fillId="2" borderId="11" xfId="0" applyFont="1" applyFill="1" applyBorder="1" applyAlignment="1" applyProtection="1">
      <alignment horizontal="center" vertical="center" wrapText="1"/>
      <protection locked="0"/>
    </xf>
    <xf numFmtId="0" fontId="1" fillId="4" borderId="19" xfId="0" applyFont="1" applyFill="1" applyBorder="1" applyAlignment="1">
      <alignment horizontal="center"/>
    </xf>
    <xf numFmtId="0" fontId="1" fillId="4" borderId="20" xfId="0" applyFont="1" applyFill="1" applyBorder="1" applyAlignment="1">
      <alignment horizontal="center" wrapText="1"/>
    </xf>
    <xf numFmtId="1" fontId="2" fillId="4" borderId="21" xfId="0" applyNumberFormat="1" applyFont="1" applyFill="1" applyBorder="1" applyAlignment="1">
      <alignment horizontal="center"/>
    </xf>
    <xf numFmtId="0" fontId="1" fillId="8" borderId="19" xfId="0" applyFont="1" applyFill="1" applyBorder="1" applyAlignment="1">
      <alignment horizontal="center" wrapText="1"/>
    </xf>
    <xf numFmtId="0" fontId="1" fillId="8" borderId="20" xfId="0" applyFont="1" applyFill="1" applyBorder="1" applyAlignment="1">
      <alignment horizontal="center" wrapText="1"/>
    </xf>
    <xf numFmtId="1" fontId="2" fillId="8" borderId="21" xfId="0" applyNumberFormat="1" applyFont="1" applyFill="1" applyBorder="1" applyAlignment="1">
      <alignment horizontal="center"/>
    </xf>
    <xf numFmtId="1" fontId="2" fillId="8" borderId="20" xfId="0" applyNumberFormat="1" applyFont="1" applyFill="1" applyBorder="1" applyAlignment="1">
      <alignment horizontal="center"/>
    </xf>
    <xf numFmtId="1" fontId="2" fillId="8" borderId="22" xfId="0" applyNumberFormat="1" applyFont="1" applyFill="1" applyBorder="1" applyAlignment="1">
      <alignment horizontal="center"/>
    </xf>
    <xf numFmtId="0" fontId="23" fillId="0" borderId="0" xfId="0" applyFont="1" applyFill="1" applyBorder="1" applyAlignment="1">
      <alignment horizontal="center"/>
    </xf>
    <xf numFmtId="0" fontId="24" fillId="0" borderId="0" xfId="0" applyFont="1"/>
    <xf numFmtId="0" fontId="19" fillId="0" borderId="0" xfId="0" applyFont="1" applyProtection="1"/>
    <xf numFmtId="0" fontId="19" fillId="0" borderId="0" xfId="0" applyFont="1" applyBorder="1" applyProtection="1"/>
    <xf numFmtId="0" fontId="19" fillId="0" borderId="0" xfId="0" applyFont="1" applyFill="1" applyBorder="1" applyProtection="1"/>
    <xf numFmtId="0" fontId="21" fillId="0" borderId="0" xfId="0" applyFont="1" applyAlignment="1" applyProtection="1">
      <alignment horizontal="right"/>
    </xf>
    <xf numFmtId="0" fontId="19" fillId="0" borderId="0" xfId="0" applyFont="1" applyBorder="1" applyAlignment="1" applyProtection="1"/>
    <xf numFmtId="0" fontId="21" fillId="0" borderId="0" xfId="0" applyFont="1" applyFill="1" applyBorder="1" applyAlignment="1" applyProtection="1">
      <alignment horizontal="right"/>
    </xf>
    <xf numFmtId="0" fontId="19" fillId="0" borderId="0" xfId="0" applyFont="1" applyFill="1" applyBorder="1" applyAlignment="1" applyProtection="1">
      <alignment horizontal="center"/>
    </xf>
    <xf numFmtId="0" fontId="21" fillId="0" borderId="0" xfId="0" applyFont="1" applyBorder="1" applyAlignment="1" applyProtection="1"/>
    <xf numFmtId="0" fontId="19" fillId="0" borderId="0" xfId="0" applyFont="1" applyFill="1" applyBorder="1" applyAlignment="1" applyProtection="1"/>
    <xf numFmtId="0" fontId="19" fillId="0" borderId="0" xfId="0" applyFont="1" applyAlignment="1" applyProtection="1">
      <alignment horizontal="center"/>
    </xf>
    <xf numFmtId="1" fontId="19" fillId="0" borderId="0" xfId="0" applyNumberFormat="1" applyFont="1" applyAlignment="1" applyProtection="1">
      <alignment horizontal="center"/>
    </xf>
    <xf numFmtId="1" fontId="19" fillId="0" borderId="0" xfId="0" applyNumberFormat="1" applyFont="1" applyFill="1" applyBorder="1" applyAlignment="1" applyProtection="1">
      <alignment horizontal="center"/>
    </xf>
    <xf numFmtId="0" fontId="15" fillId="0" borderId="0" xfId="0" applyFont="1" applyAlignment="1" applyProtection="1">
      <alignment horizontal="right"/>
    </xf>
    <xf numFmtId="0" fontId="21" fillId="0" borderId="0" xfId="0" applyFont="1" applyFill="1" applyBorder="1" applyProtection="1"/>
    <xf numFmtId="14" fontId="22" fillId="0" borderId="0" xfId="0" applyNumberFormat="1" applyFont="1" applyFill="1" applyBorder="1" applyProtection="1"/>
    <xf numFmtId="0" fontId="28" fillId="0" borderId="0" xfId="0" applyFont="1" applyAlignment="1">
      <alignment horizontal="center"/>
    </xf>
    <xf numFmtId="1" fontId="0" fillId="0" borderId="0" xfId="0" applyNumberFormat="1" applyFont="1" applyFill="1" applyBorder="1" applyAlignment="1">
      <alignment horizontal="center"/>
    </xf>
    <xf numFmtId="0" fontId="24" fillId="0" borderId="0" xfId="0" applyFont="1" applyFill="1" applyBorder="1"/>
    <xf numFmtId="0" fontId="24" fillId="0" borderId="0" xfId="0" applyNumberFormat="1" applyFont="1" applyFill="1" applyBorder="1"/>
    <xf numFmtId="0" fontId="16" fillId="0" borderId="0" xfId="0" applyFont="1" applyFill="1" applyAlignment="1">
      <alignment horizontal="right"/>
    </xf>
    <xf numFmtId="0" fontId="16" fillId="0" borderId="12" xfId="0" applyFont="1" applyFill="1" applyBorder="1" applyAlignment="1">
      <alignment horizontal="center" vertical="center" wrapText="1"/>
    </xf>
    <xf numFmtId="0" fontId="29" fillId="0" borderId="0" xfId="0" applyFont="1" applyFill="1" applyBorder="1" applyAlignment="1">
      <alignment horizontal="left"/>
    </xf>
    <xf numFmtId="0" fontId="1" fillId="0" borderId="0" xfId="0" applyFont="1" applyFill="1" applyBorder="1" applyAlignment="1">
      <alignment horizontal="right"/>
    </xf>
    <xf numFmtId="0" fontId="0" fillId="0" borderId="16" xfId="0" applyFont="1" applyFill="1" applyBorder="1" applyAlignment="1">
      <alignment horizontal="center"/>
    </xf>
    <xf numFmtId="0" fontId="31" fillId="0" borderId="0" xfId="0" applyFont="1" applyFill="1" applyBorder="1" applyAlignment="1"/>
    <xf numFmtId="3" fontId="1" fillId="3" borderId="3" xfId="3" applyNumberFormat="1" applyFont="1" applyFill="1" applyBorder="1" applyAlignment="1">
      <alignment horizontal="center"/>
    </xf>
    <xf numFmtId="3" fontId="2" fillId="3" borderId="15" xfId="0" applyNumberFormat="1" applyFont="1" applyFill="1" applyBorder="1" applyAlignment="1">
      <alignment horizontal="center"/>
    </xf>
    <xf numFmtId="3" fontId="1" fillId="3" borderId="13" xfId="0" applyNumberFormat="1" applyFont="1" applyFill="1" applyBorder="1" applyAlignment="1">
      <alignment horizontal="center"/>
    </xf>
    <xf numFmtId="3" fontId="2" fillId="3" borderId="6" xfId="0" applyNumberFormat="1" applyFont="1" applyFill="1" applyBorder="1" applyAlignment="1">
      <alignment horizontal="center"/>
    </xf>
    <xf numFmtId="3" fontId="2" fillId="3" borderId="9" xfId="0" applyNumberFormat="1" applyFont="1" applyFill="1" applyBorder="1" applyAlignment="1">
      <alignment horizontal="center"/>
    </xf>
    <xf numFmtId="3" fontId="2" fillId="3" borderId="4" xfId="0" applyNumberFormat="1" applyFont="1" applyFill="1" applyBorder="1" applyAlignment="1">
      <alignment horizontal="center"/>
    </xf>
    <xf numFmtId="0" fontId="32" fillId="0" borderId="0" xfId="0" applyFont="1" applyFill="1" applyBorder="1" applyAlignment="1"/>
    <xf numFmtId="0" fontId="19" fillId="0" borderId="0" xfId="0" applyFont="1" applyFill="1" applyBorder="1" applyAlignment="1">
      <alignment horizontal="center"/>
    </xf>
    <xf numFmtId="0" fontId="21" fillId="0" borderId="0" xfId="0" applyFont="1" applyFill="1" applyBorder="1" applyAlignment="1">
      <alignment horizontal="center"/>
    </xf>
    <xf numFmtId="0" fontId="33" fillId="0" borderId="0" xfId="0" applyFont="1" applyFill="1" applyBorder="1" applyAlignment="1">
      <alignment horizontal="center"/>
    </xf>
    <xf numFmtId="1" fontId="1" fillId="4" borderId="22" xfId="0" applyNumberFormat="1" applyFont="1" applyFill="1" applyBorder="1" applyAlignment="1">
      <alignment horizontal="center"/>
    </xf>
    <xf numFmtId="49" fontId="23" fillId="0" borderId="0" xfId="0" applyNumberFormat="1" applyFont="1" applyFill="1" applyBorder="1" applyAlignment="1">
      <alignment horizontal="center"/>
    </xf>
    <xf numFmtId="0" fontId="0" fillId="0" borderId="0" xfId="0" applyFont="1"/>
    <xf numFmtId="0" fontId="0" fillId="0" borderId="0" xfId="0" applyFont="1" applyFill="1"/>
    <xf numFmtId="1" fontId="23"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0" fontId="34" fillId="0" borderId="0" xfId="0" applyFont="1" applyFill="1" applyBorder="1" applyAlignment="1">
      <alignment horizontal="right"/>
    </xf>
    <xf numFmtId="0" fontId="5" fillId="0" borderId="0" xfId="0" applyFont="1" applyBorder="1" applyAlignment="1">
      <alignment wrapText="1"/>
    </xf>
    <xf numFmtId="0" fontId="11" fillId="0" borderId="24" xfId="0" applyFont="1" applyBorder="1"/>
    <xf numFmtId="0" fontId="5" fillId="0" borderId="0" xfId="0" applyFont="1" applyBorder="1"/>
    <xf numFmtId="0" fontId="0" fillId="0" borderId="0" xfId="0" applyFont="1" applyAlignment="1">
      <alignment horizontal="center"/>
    </xf>
    <xf numFmtId="0" fontId="0" fillId="0" borderId="16" xfId="0" applyFont="1" applyBorder="1" applyAlignment="1" applyProtection="1">
      <alignment horizontal="center"/>
      <protection locked="0"/>
    </xf>
    <xf numFmtId="1" fontId="0" fillId="0" borderId="16" xfId="0" applyNumberFormat="1" applyFont="1" applyBorder="1" applyAlignment="1">
      <alignment horizontal="center"/>
    </xf>
    <xf numFmtId="0" fontId="0" fillId="0" borderId="0" xfId="0" applyFont="1" applyAlignment="1">
      <alignment wrapText="1"/>
    </xf>
    <xf numFmtId="0" fontId="0" fillId="9" borderId="16" xfId="0" applyFont="1" applyFill="1" applyBorder="1" applyAlignment="1">
      <alignment horizontal="center" vertical="center"/>
    </xf>
    <xf numFmtId="0" fontId="0" fillId="0" borderId="16" xfId="0" applyFont="1" applyBorder="1" applyAlignment="1">
      <alignment horizontal="center"/>
    </xf>
    <xf numFmtId="0" fontId="0" fillId="0" borderId="0" xfId="0" applyFont="1" applyAlignment="1">
      <alignment horizontal="left" wrapText="1"/>
    </xf>
    <xf numFmtId="0" fontId="0" fillId="0" borderId="16" xfId="0" applyFont="1" applyFill="1" applyBorder="1" applyAlignment="1">
      <alignment horizontal="center" vertical="center"/>
    </xf>
    <xf numFmtId="0" fontId="0" fillId="0" borderId="0" xfId="0" applyFont="1" applyBorder="1" applyAlignment="1">
      <alignment horizontal="center"/>
    </xf>
    <xf numFmtId="0" fontId="0" fillId="0" borderId="12" xfId="0" applyFont="1" applyBorder="1" applyAlignment="1">
      <alignment horizontal="center" vertical="center" wrapText="1"/>
    </xf>
    <xf numFmtId="0" fontId="0" fillId="0" borderId="10" xfId="0" applyFont="1" applyBorder="1"/>
    <xf numFmtId="0" fontId="0" fillId="0" borderId="0" xfId="0" applyFont="1" applyFill="1" applyAlignment="1">
      <alignment horizontal="center"/>
    </xf>
    <xf numFmtId="0" fontId="0" fillId="0" borderId="12" xfId="0" applyFont="1" applyFill="1" applyBorder="1" applyAlignment="1">
      <alignment horizontal="center" vertical="center" wrapText="1"/>
    </xf>
    <xf numFmtId="164" fontId="0" fillId="0" borderId="16" xfId="0" applyNumberFormat="1" applyFont="1" applyBorder="1" applyAlignment="1">
      <alignment horizontal="center"/>
    </xf>
    <xf numFmtId="0" fontId="24" fillId="0" borderId="0" xfId="0" applyFont="1" applyFill="1" applyBorder="1" applyAlignment="1">
      <alignment horizontal="center"/>
    </xf>
    <xf numFmtId="0" fontId="0" fillId="0" borderId="0" xfId="0" applyFont="1" applyBorder="1"/>
    <xf numFmtId="49" fontId="8" fillId="0" borderId="0" xfId="0" applyNumberFormat="1" applyFont="1"/>
    <xf numFmtId="0" fontId="0" fillId="0" borderId="16" xfId="0" applyFont="1" applyFill="1" applyBorder="1" applyAlignment="1" applyProtection="1">
      <alignment horizontal="center"/>
      <protection locked="0"/>
    </xf>
    <xf numFmtId="49" fontId="0" fillId="0" borderId="0" xfId="0" applyNumberFormat="1" applyBorder="1" applyAlignment="1" applyProtection="1">
      <alignment horizontal="left"/>
      <protection locked="0"/>
    </xf>
    <xf numFmtId="0" fontId="0" fillId="0" borderId="0" xfId="0" applyBorder="1"/>
    <xf numFmtId="0" fontId="0" fillId="0" borderId="23" xfId="0" applyBorder="1" applyProtection="1">
      <protection locked="0"/>
    </xf>
    <xf numFmtId="14" fontId="5" fillId="0" borderId="11" xfId="0" applyNumberFormat="1" applyFont="1" applyFill="1" applyBorder="1" applyAlignment="1" applyProtection="1">
      <alignment horizontal="center"/>
      <protection locked="0"/>
    </xf>
    <xf numFmtId="0" fontId="11" fillId="0" borderId="24" xfId="0" applyFont="1" applyBorder="1" applyAlignment="1">
      <alignment wrapText="1"/>
    </xf>
    <xf numFmtId="0" fontId="0" fillId="0" borderId="0" xfId="0" applyFont="1" applyFill="1" applyBorder="1" applyProtection="1"/>
    <xf numFmtId="0" fontId="0" fillId="0" borderId="0" xfId="0" applyFont="1" applyProtection="1"/>
    <xf numFmtId="0" fontId="0" fillId="0" borderId="0" xfId="0" applyFont="1" applyAlignment="1" applyProtection="1">
      <alignment horizontal="center"/>
    </xf>
    <xf numFmtId="1" fontId="0" fillId="0" borderId="0" xfId="0" applyNumberFormat="1" applyFont="1" applyFill="1" applyBorder="1" applyAlignment="1" applyProtection="1">
      <alignment horizontal="center"/>
    </xf>
    <xf numFmtId="0" fontId="23" fillId="0" borderId="0" xfId="0" applyFont="1" applyFill="1"/>
    <xf numFmtId="0" fontId="8" fillId="0" borderId="0" xfId="0" applyNumberFormat="1" applyFont="1" applyAlignment="1">
      <alignment horizontal="left"/>
    </xf>
    <xf numFmtId="0" fontId="28" fillId="0" borderId="0" xfId="0" applyFont="1" applyAlignment="1" applyProtection="1">
      <alignment vertical="top"/>
    </xf>
    <xf numFmtId="0" fontId="30" fillId="0" borderId="0" xfId="0" applyNumberFormat="1" applyFont="1" applyAlignment="1" applyProtection="1">
      <alignment vertical="center"/>
    </xf>
    <xf numFmtId="0" fontId="23" fillId="0" borderId="0" xfId="0" applyFont="1" applyFill="1" applyAlignment="1">
      <alignment horizontal="center"/>
    </xf>
    <xf numFmtId="14" fontId="35" fillId="0" borderId="0" xfId="0" applyNumberFormat="1" applyFont="1" applyFill="1" applyAlignment="1">
      <alignment horizontal="center"/>
    </xf>
    <xf numFmtId="14" fontId="24" fillId="0" borderId="0" xfId="0" applyNumberFormat="1" applyFont="1" applyFill="1"/>
    <xf numFmtId="14" fontId="36" fillId="0" borderId="0" xfId="0" applyNumberFormat="1" applyFont="1" applyFill="1" applyAlignment="1">
      <alignment horizontal="center"/>
    </xf>
    <xf numFmtId="0" fontId="24" fillId="0" borderId="0" xfId="0" applyFont="1" applyFill="1" applyAlignment="1">
      <alignment horizontal="center"/>
    </xf>
    <xf numFmtId="1" fontId="24" fillId="0" borderId="0" xfId="0" applyNumberFormat="1" applyFont="1" applyFill="1" applyAlignment="1">
      <alignment horizontal="center"/>
    </xf>
    <xf numFmtId="0" fontId="23" fillId="0" borderId="0" xfId="0" applyFont="1"/>
    <xf numFmtId="1" fontId="37" fillId="0" borderId="0" xfId="0" applyNumberFormat="1" applyFont="1" applyFill="1" applyBorder="1" applyAlignment="1">
      <alignment horizontal="center"/>
    </xf>
    <xf numFmtId="14" fontId="23" fillId="0" borderId="0" xfId="0" applyNumberFormat="1" applyFont="1" applyFill="1"/>
    <xf numFmtId="14" fontId="24" fillId="0" borderId="0" xfId="0" applyNumberFormat="1" applyFont="1" applyFill="1" applyAlignment="1">
      <alignment horizontal="center"/>
    </xf>
    <xf numFmtId="0" fontId="24" fillId="0" borderId="0" xfId="0" applyFont="1" applyFill="1"/>
    <xf numFmtId="14" fontId="23" fillId="0" borderId="0" xfId="0" applyNumberFormat="1" applyFont="1"/>
    <xf numFmtId="0" fontId="23" fillId="0" borderId="0" xfId="0" applyFont="1" applyFill="1" applyBorder="1"/>
    <xf numFmtId="0" fontId="23" fillId="0" borderId="0" xfId="0" applyNumberFormat="1" applyFont="1" applyFill="1" applyBorder="1"/>
    <xf numFmtId="0" fontId="23" fillId="0" borderId="0" xfId="0" applyFont="1" applyFill="1" applyBorder="1" applyAlignment="1">
      <alignment horizontal="center" vertical="center"/>
    </xf>
    <xf numFmtId="0" fontId="38" fillId="0" borderId="0" xfId="0" applyFont="1" applyFill="1" applyBorder="1"/>
    <xf numFmtId="0" fontId="38" fillId="0" borderId="0" xfId="0" applyFont="1" applyFill="1" applyBorder="1" applyAlignment="1">
      <alignment horizontal="center"/>
    </xf>
    <xf numFmtId="0" fontId="39" fillId="0" borderId="0" xfId="0" applyFont="1" applyFill="1" applyBorder="1" applyAlignment="1">
      <alignment horizontal="center"/>
    </xf>
    <xf numFmtId="0" fontId="39" fillId="0" borderId="0" xfId="0" applyFont="1" applyFill="1" applyBorder="1"/>
    <xf numFmtId="0" fontId="40" fillId="0" borderId="0" xfId="0" applyFont="1" applyFill="1" applyBorder="1" applyAlignment="1">
      <alignment horizontal="center"/>
    </xf>
    <xf numFmtId="0" fontId="41" fillId="0" borderId="0" xfId="0" applyFont="1" applyFill="1" applyBorder="1" applyAlignment="1">
      <alignment horizontal="center"/>
    </xf>
    <xf numFmtId="49" fontId="38" fillId="0" borderId="0" xfId="0" applyNumberFormat="1" applyFont="1" applyFill="1" applyBorder="1"/>
    <xf numFmtId="14" fontId="39" fillId="0" borderId="0" xfId="0" applyNumberFormat="1" applyFont="1" applyFill="1" applyBorder="1" applyAlignment="1">
      <alignment horizontal="center"/>
    </xf>
    <xf numFmtId="14" fontId="39" fillId="0" borderId="0" xfId="0" applyNumberFormat="1" applyFont="1" applyFill="1" applyBorder="1"/>
    <xf numFmtId="0" fontId="23" fillId="0" borderId="0" xfId="0" applyFont="1" applyBorder="1"/>
    <xf numFmtId="0" fontId="24" fillId="0" borderId="0" xfId="0" applyFont="1" applyBorder="1"/>
    <xf numFmtId="49" fontId="0" fillId="0" borderId="10" xfId="0" applyNumberFormat="1" applyBorder="1" applyAlignment="1" applyProtection="1">
      <alignment horizontal="left"/>
      <protection locked="0"/>
    </xf>
    <xf numFmtId="49" fontId="0" fillId="0" borderId="17" xfId="0" applyNumberFormat="1" applyBorder="1" applyAlignment="1" applyProtection="1">
      <alignment horizontal="left"/>
      <protection locked="0"/>
    </xf>
    <xf numFmtId="49" fontId="0" fillId="0" borderId="2" xfId="0" applyNumberFormat="1" applyBorder="1" applyAlignment="1" applyProtection="1">
      <alignment horizontal="left"/>
      <protection locked="0"/>
    </xf>
    <xf numFmtId="0" fontId="23" fillId="0" borderId="0" xfId="0" applyFont="1" applyFill="1" applyBorder="1" applyAlignment="1">
      <alignment horizontal="center"/>
    </xf>
    <xf numFmtId="49" fontId="0" fillId="0" borderId="10" xfId="0" applyNumberFormat="1" applyBorder="1" applyAlignment="1" applyProtection="1">
      <alignment horizontal="left"/>
      <protection locked="0"/>
    </xf>
    <xf numFmtId="49" fontId="0" fillId="0" borderId="17" xfId="0" applyNumberFormat="1" applyBorder="1" applyAlignment="1" applyProtection="1">
      <alignment horizontal="left"/>
      <protection locked="0"/>
    </xf>
    <xf numFmtId="49" fontId="0" fillId="0" borderId="2" xfId="0" applyNumberFormat="1" applyBorder="1" applyAlignment="1" applyProtection="1">
      <alignment horizontal="left"/>
      <protection locked="0"/>
    </xf>
    <xf numFmtId="49" fontId="1" fillId="0" borderId="10" xfId="0" applyNumberFormat="1" applyFont="1" applyBorder="1" applyAlignment="1" applyProtection="1">
      <alignment horizontal="left"/>
      <protection locked="0"/>
    </xf>
    <xf numFmtId="49" fontId="1" fillId="0" borderId="17" xfId="0" applyNumberFormat="1" applyFont="1" applyBorder="1" applyAlignment="1" applyProtection="1">
      <alignment horizontal="left"/>
      <protection locked="0"/>
    </xf>
    <xf numFmtId="49" fontId="1" fillId="0" borderId="2" xfId="0" applyNumberFormat="1" applyFont="1" applyBorder="1" applyAlignment="1" applyProtection="1">
      <alignment horizontal="left"/>
      <protection locked="0"/>
    </xf>
    <xf numFmtId="0" fontId="23" fillId="0" borderId="0" xfId="0" applyFont="1" applyFill="1" applyBorder="1" applyAlignment="1">
      <alignment horizontal="center"/>
    </xf>
    <xf numFmtId="0" fontId="9" fillId="0" borderId="10" xfId="0" applyFont="1" applyBorder="1" applyAlignment="1" applyProtection="1">
      <alignment horizontal="left"/>
      <protection locked="0"/>
    </xf>
    <xf numFmtId="0" fontId="9" fillId="0" borderId="17" xfId="0" applyFont="1" applyBorder="1" applyAlignment="1" applyProtection="1">
      <alignment horizontal="left"/>
      <protection locked="0"/>
    </xf>
    <xf numFmtId="0" fontId="9" fillId="0" borderId="2" xfId="0" applyFont="1" applyBorder="1" applyAlignment="1" applyProtection="1">
      <alignment horizontal="left"/>
      <protection locked="0"/>
    </xf>
    <xf numFmtId="0" fontId="30" fillId="0" borderId="0" xfId="0" applyNumberFormat="1" applyFont="1" applyAlignment="1" applyProtection="1">
      <alignment horizontal="center" vertical="center"/>
    </xf>
    <xf numFmtId="0" fontId="23" fillId="0" borderId="0" xfId="0" applyFont="1" applyAlignment="1">
      <alignment horizontal="center"/>
    </xf>
    <xf numFmtId="0" fontId="0" fillId="0" borderId="0" xfId="0" applyFont="1" applyAlignment="1">
      <alignment horizontal="left" wrapText="1"/>
    </xf>
    <xf numFmtId="0" fontId="0" fillId="0" borderId="0" xfId="0" applyFont="1" applyAlignment="1">
      <alignment horizontal="left" vertical="top" wrapText="1"/>
    </xf>
    <xf numFmtId="0" fontId="17" fillId="0" borderId="0" xfId="0" applyFont="1" applyAlignment="1">
      <alignment horizontal="left" vertical="center" wrapText="1"/>
    </xf>
    <xf numFmtId="0" fontId="0" fillId="0" borderId="12" xfId="0" applyFont="1" applyBorder="1" applyAlignment="1">
      <alignment horizontal="center" wrapText="1"/>
    </xf>
    <xf numFmtId="0" fontId="0" fillId="0" borderId="18" xfId="0" applyFont="1" applyBorder="1" applyAlignment="1">
      <alignment horizontal="center" wrapText="1"/>
    </xf>
    <xf numFmtId="0" fontId="0" fillId="0" borderId="10" xfId="0" applyFont="1" applyFill="1" applyBorder="1" applyAlignment="1">
      <alignment horizontal="center"/>
    </xf>
    <xf numFmtId="0" fontId="0" fillId="0" borderId="17" xfId="0" applyFont="1" applyFill="1" applyBorder="1" applyAlignment="1">
      <alignment horizontal="center"/>
    </xf>
    <xf numFmtId="0" fontId="0" fillId="0" borderId="2" xfId="0" applyFont="1" applyFill="1" applyBorder="1" applyAlignment="1">
      <alignment horizontal="center"/>
    </xf>
    <xf numFmtId="0" fontId="0" fillId="0" borderId="10" xfId="0" applyFont="1" applyBorder="1" applyAlignment="1">
      <alignment horizontal="center"/>
    </xf>
    <xf numFmtId="0" fontId="0" fillId="0" borderId="17" xfId="0" applyFont="1" applyBorder="1" applyAlignment="1">
      <alignment horizontal="center"/>
    </xf>
    <xf numFmtId="0" fontId="0" fillId="0" borderId="2" xfId="0" applyFont="1" applyBorder="1" applyAlignment="1">
      <alignment horizontal="center"/>
    </xf>
    <xf numFmtId="0" fontId="1" fillId="0" borderId="0" xfId="0" applyFont="1" applyAlignment="1">
      <alignment horizontal="left" vertical="top" wrapText="1"/>
    </xf>
    <xf numFmtId="1" fontId="5" fillId="0" borderId="0" xfId="0" applyNumberFormat="1" applyFont="1" applyBorder="1" applyAlignment="1" applyProtection="1">
      <alignment horizontal="center"/>
      <protection locked="0"/>
    </xf>
    <xf numFmtId="0" fontId="11" fillId="0" borderId="0" xfId="0" applyFont="1" applyAlignment="1">
      <alignment horizontal="center"/>
    </xf>
    <xf numFmtId="0" fontId="11" fillId="0" borderId="0" xfId="0" applyFont="1" applyBorder="1" applyAlignment="1">
      <alignment horizontal="center" wrapText="1"/>
    </xf>
    <xf numFmtId="0" fontId="11" fillId="0" borderId="0" xfId="0" applyFont="1" applyBorder="1" applyAlignment="1">
      <alignment horizontal="center"/>
    </xf>
    <xf numFmtId="0" fontId="42" fillId="0" borderId="0" xfId="0" applyFont="1" applyFill="1" applyBorder="1" applyAlignment="1">
      <alignment horizontal="center"/>
    </xf>
    <xf numFmtId="0" fontId="43" fillId="0" borderId="0" xfId="0" applyFont="1" applyFill="1" applyBorder="1" applyAlignment="1">
      <alignment horizontal="center"/>
    </xf>
    <xf numFmtId="0" fontId="44" fillId="0" borderId="0" xfId="0" applyFont="1" applyFill="1" applyBorder="1" applyAlignment="1">
      <alignment horizontal="center"/>
    </xf>
    <xf numFmtId="0" fontId="9" fillId="0" borderId="0" xfId="0" applyFont="1" applyFill="1" applyBorder="1"/>
    <xf numFmtId="0" fontId="9" fillId="0" borderId="0" xfId="0" applyFont="1"/>
    <xf numFmtId="0" fontId="15" fillId="0" borderId="0" xfId="0" applyFont="1"/>
    <xf numFmtId="14" fontId="9" fillId="0" borderId="0" xfId="0" applyNumberFormat="1" applyFont="1"/>
    <xf numFmtId="0" fontId="9" fillId="0" borderId="0" xfId="0" applyFont="1" applyFill="1" applyBorder="1" applyAlignment="1">
      <alignment horizontal="center"/>
    </xf>
    <xf numFmtId="0" fontId="9" fillId="0" borderId="0" xfId="0" applyFont="1" applyBorder="1"/>
    <xf numFmtId="0" fontId="15" fillId="0" borderId="0" xfId="0" applyFont="1" applyBorder="1"/>
    <xf numFmtId="1" fontId="33" fillId="0" borderId="0" xfId="0" applyNumberFormat="1" applyFont="1" applyFill="1" applyBorder="1" applyAlignment="1">
      <alignment horizontal="center"/>
    </xf>
    <xf numFmtId="0" fontId="30" fillId="0" borderId="0" xfId="0" applyFont="1" applyFill="1" applyBorder="1" applyAlignment="1"/>
    <xf numFmtId="0" fontId="15" fillId="0" borderId="0" xfId="0" applyFont="1" applyFill="1" applyBorder="1" applyAlignment="1">
      <alignment horizontal="center"/>
    </xf>
    <xf numFmtId="0" fontId="15" fillId="0" borderId="0" xfId="0" applyFont="1" applyFill="1" applyBorder="1" applyAlignment="1">
      <alignment vertical="center" wrapText="1"/>
    </xf>
    <xf numFmtId="9" fontId="9" fillId="0" borderId="0" xfId="1" applyFont="1" applyFill="1" applyBorder="1" applyAlignment="1">
      <alignment horizontal="center"/>
    </xf>
    <xf numFmtId="9" fontId="15" fillId="0" borderId="0" xfId="1" applyFont="1" applyFill="1" applyBorder="1" applyAlignment="1">
      <alignment horizontal="center"/>
    </xf>
    <xf numFmtId="0" fontId="23" fillId="0" borderId="0" xfId="0" applyFont="1" applyFill="1" applyBorder="1" applyAlignment="1">
      <alignment horizontal="center" wrapText="1"/>
    </xf>
    <xf numFmtId="0" fontId="24" fillId="0" borderId="0" xfId="0" applyFont="1" applyFill="1" applyBorder="1" applyAlignment="1">
      <alignment horizontal="center" wrapText="1"/>
    </xf>
    <xf numFmtId="9" fontId="24" fillId="0" borderId="0" xfId="1" applyFont="1" applyFill="1" applyBorder="1" applyAlignment="1">
      <alignment horizontal="center"/>
    </xf>
    <xf numFmtId="9" fontId="23" fillId="0" borderId="0" xfId="1" applyFont="1" applyFill="1" applyBorder="1" applyAlignment="1">
      <alignment horizontal="center"/>
    </xf>
  </cellXfs>
  <cellStyles count="4">
    <cellStyle name="Comma" xfId="3" builtinId="3"/>
    <cellStyle name="Hyperlink" xfId="2" builtinId="8"/>
    <cellStyle name="Normal" xfId="0" builtinId="0"/>
    <cellStyle name="Percent" xfId="1" builtinId="5"/>
  </cellStyles>
  <dxfs count="18">
    <dxf>
      <font>
        <color theme="9" tint="0.79998168889431442"/>
      </font>
    </dxf>
    <dxf>
      <font>
        <color theme="9" tint="0.79998168889431442"/>
      </font>
    </dxf>
    <dxf>
      <font>
        <color theme="7" tint="0.79998168889431442"/>
      </font>
    </dxf>
    <dxf>
      <font>
        <color theme="7" tint="0.79998168889431442"/>
      </font>
    </dxf>
    <dxf>
      <font>
        <color theme="9" tint="0.79998168889431442"/>
      </font>
    </dxf>
    <dxf>
      <font>
        <color theme="9" tint="0.79998168889431442"/>
      </font>
    </dxf>
    <dxf>
      <font>
        <color theme="9" tint="0.79998168889431442"/>
      </font>
    </dxf>
    <dxf>
      <font>
        <color theme="6" tint="0.79998168889431442"/>
      </font>
    </dxf>
    <dxf>
      <font>
        <color theme="9" tint="0.79998168889431442"/>
      </font>
    </dxf>
    <dxf>
      <font>
        <color theme="9" tint="0.79998168889431442"/>
      </font>
    </dxf>
    <dxf>
      <font>
        <color theme="7" tint="0.79998168889431442"/>
      </font>
    </dxf>
    <dxf>
      <font>
        <color theme="7" tint="0.79998168889431442"/>
      </font>
    </dxf>
    <dxf>
      <font>
        <color theme="9" tint="0.79998168889431442"/>
      </font>
    </dxf>
    <dxf>
      <font>
        <color theme="6" tint="0.79998168889431442"/>
      </font>
    </dxf>
    <dxf>
      <font>
        <color theme="7" tint="0.79998168889431442"/>
      </font>
    </dxf>
    <dxf>
      <font>
        <color theme="6" tint="0.79998168889431442"/>
      </font>
    </dxf>
    <dxf>
      <font>
        <color theme="7" tint="0.79998168889431442"/>
      </font>
    </dxf>
    <dxf>
      <font>
        <color theme="9" tint="0.79998168889431442"/>
      </font>
    </dxf>
  </dxfs>
  <tableStyles count="0" defaultTableStyle="TableStyleMedium2" defaultPivotStyle="PivotStyleLight16"/>
  <colors>
    <mruColors>
      <color rgb="FF772C2A"/>
      <color rgb="FFDD4FFF"/>
      <color rgb="FFF4C5FF"/>
      <color rgb="FFFAE7FF"/>
      <color rgb="FFFFFF00"/>
      <color rgb="FF09FFFF"/>
      <color rgb="FFE7FFFF"/>
      <color rgb="FFCCFFFF"/>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a:t>Avg service</a:t>
            </a:r>
            <a:r>
              <a:rPr lang="en-GB" sz="1200" b="1" baseline="0"/>
              <a:t> attendance by year</a:t>
            </a:r>
            <a:endParaRPr lang="en-GB" sz="1200" b="1"/>
          </a:p>
        </c:rich>
      </c:tx>
      <c:layout>
        <c:manualLayout>
          <c:xMode val="edge"/>
          <c:yMode val="edge"/>
          <c:x val="0.2484112307062534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7245057670543469E-2"/>
          <c:y val="0.10188235294117647"/>
          <c:w val="0.8791157985985697"/>
          <c:h val="0.6496281209652488"/>
        </c:manualLayout>
      </c:layout>
      <c:lineChart>
        <c:grouping val="standard"/>
        <c:varyColors val="0"/>
        <c:ser>
          <c:idx val="1"/>
          <c:order val="0"/>
          <c:tx>
            <c:strRef>
              <c:f>'Report Tables'!$B$40</c:f>
              <c:strCache>
                <c:ptCount val="1"/>
                <c:pt idx="0">
                  <c:v>Avg. attendance at services ADULT</c:v>
                </c:pt>
              </c:strCache>
            </c:strRef>
          </c:tx>
          <c:spPr>
            <a:ln w="12700" cap="rnd">
              <a:solidFill>
                <a:schemeClr val="accent3"/>
              </a:solidFill>
              <a:round/>
            </a:ln>
            <a:effectLst/>
          </c:spPr>
          <c:marker>
            <c:symbol val="none"/>
          </c:marker>
          <c:cat>
            <c:numRef>
              <c:f>'Report Tables'!$C$52:$K$52</c:f>
              <c:numCache>
                <c:formatCode>General</c:formatCode>
                <c:ptCount val="9"/>
                <c:pt idx="0">
                  <c:v>2017</c:v>
                </c:pt>
                <c:pt idx="1">
                  <c:v>2018</c:v>
                </c:pt>
                <c:pt idx="2">
                  <c:v>2019</c:v>
                </c:pt>
                <c:pt idx="3">
                  <c:v>2020</c:v>
                </c:pt>
                <c:pt idx="4">
                  <c:v>2021</c:v>
                </c:pt>
                <c:pt idx="5">
                  <c:v>2022</c:v>
                </c:pt>
                <c:pt idx="6">
                  <c:v>2023</c:v>
                </c:pt>
                <c:pt idx="7">
                  <c:v>2024</c:v>
                </c:pt>
                <c:pt idx="8">
                  <c:v>2025</c:v>
                </c:pt>
              </c:numCache>
            </c:numRef>
          </c:cat>
          <c:val>
            <c:numRef>
              <c:f>'Report Tables'!$C$50:$K$50</c:f>
              <c:numCache>
                <c:formatCode>0</c:formatCode>
                <c:ptCount val="9"/>
                <c:pt idx="0">
                  <c:v>#N/A</c:v>
                </c:pt>
                <c:pt idx="1">
                  <c:v>#N/A</c:v>
                </c:pt>
                <c:pt idx="2">
                  <c:v>#N/A</c:v>
                </c:pt>
                <c:pt idx="3">
                  <c:v>#N/A</c:v>
                </c:pt>
                <c:pt idx="4">
                  <c:v>#N/A</c:v>
                </c:pt>
                <c:pt idx="5">
                  <c:v>#N/A</c:v>
                </c:pt>
                <c:pt idx="6">
                  <c:v>#N/A</c:v>
                </c:pt>
                <c:pt idx="7">
                  <c:v>#N/A</c:v>
                </c:pt>
                <c:pt idx="8">
                  <c:v>#N/A</c:v>
                </c:pt>
              </c:numCache>
            </c:numRef>
          </c:val>
          <c:smooth val="0"/>
          <c:extLst>
            <c:ext xmlns:c16="http://schemas.microsoft.com/office/drawing/2014/chart" uri="{C3380CC4-5D6E-409C-BE32-E72D297353CC}">
              <c16:uniqueId val="{00000000-DD66-4549-996A-1BC74AADB11D}"/>
            </c:ext>
          </c:extLst>
        </c:ser>
        <c:ser>
          <c:idx val="0"/>
          <c:order val="1"/>
          <c:tx>
            <c:strRef>
              <c:f>'Report Tables'!$B$28</c:f>
              <c:strCache>
                <c:ptCount val="1"/>
                <c:pt idx="0">
                  <c:v>Avg. attendance at services ALL AGE</c:v>
                </c:pt>
              </c:strCache>
            </c:strRef>
          </c:tx>
          <c:spPr>
            <a:ln w="28575" cap="rnd">
              <a:solidFill>
                <a:schemeClr val="accent2"/>
              </a:solidFill>
              <a:round/>
            </a:ln>
            <a:effectLst/>
          </c:spPr>
          <c:marker>
            <c:symbol val="none"/>
          </c:marker>
          <c:cat>
            <c:numRef>
              <c:f>'Report Tables'!$C$52:$K$52</c:f>
              <c:numCache>
                <c:formatCode>General</c:formatCode>
                <c:ptCount val="9"/>
                <c:pt idx="0">
                  <c:v>2017</c:v>
                </c:pt>
                <c:pt idx="1">
                  <c:v>2018</c:v>
                </c:pt>
                <c:pt idx="2">
                  <c:v>2019</c:v>
                </c:pt>
                <c:pt idx="3">
                  <c:v>2020</c:v>
                </c:pt>
                <c:pt idx="4">
                  <c:v>2021</c:v>
                </c:pt>
                <c:pt idx="5">
                  <c:v>2022</c:v>
                </c:pt>
                <c:pt idx="6">
                  <c:v>2023</c:v>
                </c:pt>
                <c:pt idx="7">
                  <c:v>2024</c:v>
                </c:pt>
                <c:pt idx="8">
                  <c:v>2025</c:v>
                </c:pt>
              </c:numCache>
            </c:numRef>
          </c:cat>
          <c:val>
            <c:numRef>
              <c:f>'Report Tables'!$C$38:$K$38</c:f>
              <c:numCache>
                <c:formatCode>0</c:formatCode>
                <c:ptCount val="9"/>
                <c:pt idx="0">
                  <c:v>#N/A</c:v>
                </c:pt>
                <c:pt idx="1">
                  <c:v>#N/A</c:v>
                </c:pt>
                <c:pt idx="2">
                  <c:v>#N/A</c:v>
                </c:pt>
                <c:pt idx="3">
                  <c:v>#N/A</c:v>
                </c:pt>
                <c:pt idx="4">
                  <c:v>#N/A</c:v>
                </c:pt>
                <c:pt idx="5">
                  <c:v>#N/A</c:v>
                </c:pt>
                <c:pt idx="6">
                  <c:v>#N/A</c:v>
                </c:pt>
                <c:pt idx="7">
                  <c:v>#N/A</c:v>
                </c:pt>
                <c:pt idx="8">
                  <c:v>#N/A</c:v>
                </c:pt>
              </c:numCache>
            </c:numRef>
          </c:val>
          <c:smooth val="0"/>
          <c:extLst xmlns:c15="http://schemas.microsoft.com/office/drawing/2012/chart">
            <c:ext xmlns:c16="http://schemas.microsoft.com/office/drawing/2014/chart" uri="{C3380CC4-5D6E-409C-BE32-E72D297353CC}">
              <c16:uniqueId val="{00000007-DD66-4549-996A-1BC74AADB11D}"/>
            </c:ext>
          </c:extLst>
        </c:ser>
        <c:ser>
          <c:idx val="2"/>
          <c:order val="2"/>
          <c:tx>
            <c:strRef>
              <c:f>'Report Tables'!$B$52</c:f>
              <c:strCache>
                <c:ptCount val="1"/>
                <c:pt idx="0">
                  <c:v>Avg. attendance at services U16</c:v>
                </c:pt>
              </c:strCache>
            </c:strRef>
          </c:tx>
          <c:spPr>
            <a:ln w="12700" cap="rnd">
              <a:solidFill>
                <a:schemeClr val="accent1"/>
              </a:solidFill>
              <a:round/>
            </a:ln>
            <a:effectLst/>
          </c:spPr>
          <c:marker>
            <c:symbol val="none"/>
          </c:marker>
          <c:cat>
            <c:numRef>
              <c:f>'Report Tables'!$C$52:$K$52</c:f>
              <c:numCache>
                <c:formatCode>General</c:formatCode>
                <c:ptCount val="9"/>
                <c:pt idx="0">
                  <c:v>2017</c:v>
                </c:pt>
                <c:pt idx="1">
                  <c:v>2018</c:v>
                </c:pt>
                <c:pt idx="2">
                  <c:v>2019</c:v>
                </c:pt>
                <c:pt idx="3">
                  <c:v>2020</c:v>
                </c:pt>
                <c:pt idx="4">
                  <c:v>2021</c:v>
                </c:pt>
                <c:pt idx="5">
                  <c:v>2022</c:v>
                </c:pt>
                <c:pt idx="6">
                  <c:v>2023</c:v>
                </c:pt>
                <c:pt idx="7">
                  <c:v>2024</c:v>
                </c:pt>
                <c:pt idx="8">
                  <c:v>2025</c:v>
                </c:pt>
              </c:numCache>
            </c:numRef>
          </c:cat>
          <c:val>
            <c:numRef>
              <c:f>'Report Tables'!$C$62:$K$62</c:f>
              <c:numCache>
                <c:formatCode>0</c:formatCode>
                <c:ptCount val="9"/>
                <c:pt idx="0">
                  <c:v>#N/A</c:v>
                </c:pt>
                <c:pt idx="1">
                  <c:v>#N/A</c:v>
                </c:pt>
                <c:pt idx="2">
                  <c:v>#N/A</c:v>
                </c:pt>
                <c:pt idx="3">
                  <c:v>#N/A</c:v>
                </c:pt>
                <c:pt idx="4">
                  <c:v>#N/A</c:v>
                </c:pt>
                <c:pt idx="5">
                  <c:v>#N/A</c:v>
                </c:pt>
                <c:pt idx="6">
                  <c:v>#N/A</c:v>
                </c:pt>
                <c:pt idx="7">
                  <c:v>#N/A</c:v>
                </c:pt>
                <c:pt idx="8">
                  <c:v>#N/A</c:v>
                </c:pt>
              </c:numCache>
            </c:numRef>
          </c:val>
          <c:smooth val="0"/>
          <c:extLst>
            <c:ext xmlns:c16="http://schemas.microsoft.com/office/drawing/2014/chart" uri="{C3380CC4-5D6E-409C-BE32-E72D297353CC}">
              <c16:uniqueId val="{00000001-DD66-4549-996A-1BC74AADB11D}"/>
            </c:ext>
          </c:extLst>
        </c:ser>
        <c:dLbls>
          <c:showLegendKey val="0"/>
          <c:showVal val="0"/>
          <c:showCatName val="0"/>
          <c:showSerName val="0"/>
          <c:showPercent val="0"/>
          <c:showBubbleSize val="0"/>
        </c:dLbls>
        <c:smooth val="0"/>
        <c:axId val="373291520"/>
        <c:axId val="373291848"/>
        <c:extLst/>
      </c:lineChart>
      <c:catAx>
        <c:axId val="37329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291848"/>
        <c:crosses val="autoZero"/>
        <c:auto val="1"/>
        <c:lblAlgn val="ctr"/>
        <c:lblOffset val="100"/>
        <c:noMultiLvlLbl val="0"/>
      </c:catAx>
      <c:valAx>
        <c:axId val="373291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291520"/>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Entry>
      <c:legendEntry>
        <c:idx val="2"/>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3.8187050013243774E-2"/>
          <c:y val="0.85274535833136333"/>
          <c:w val="0.9450326278022585"/>
          <c:h val="0.119019475914240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baseline="0"/>
              <a:t>Combined avg. service attendance by month</a:t>
            </a:r>
            <a:endParaRPr lang="en-GB"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7"/>
          <c:order val="0"/>
          <c:tx>
            <c:strRef>
              <c:f>'Report Tables'!$B$28</c:f>
              <c:strCache>
                <c:ptCount val="1"/>
                <c:pt idx="0">
                  <c:v>Avg. attendance at services ALL AGE</c:v>
                </c:pt>
              </c:strCache>
            </c:strRef>
          </c:tx>
          <c:spPr>
            <a:ln w="19050" cap="rnd">
              <a:solidFill>
                <a:schemeClr val="accent2"/>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Tables'!$AU$3:$AU$110</c:f>
              <c:numCache>
                <c:formatCode>0</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xmlns:c15="http://schemas.microsoft.com/office/drawing/2012/chart">
            <c:ext xmlns:c16="http://schemas.microsoft.com/office/drawing/2014/chart" uri="{C3380CC4-5D6E-409C-BE32-E72D297353CC}">
              <c16:uniqueId val="{00000004-0246-4BAE-8053-8FC751224677}"/>
            </c:ext>
          </c:extLst>
        </c:ser>
        <c:ser>
          <c:idx val="1"/>
          <c:order val="1"/>
          <c:tx>
            <c:strRef>
              <c:f>'Report Tables'!$B$40</c:f>
              <c:strCache>
                <c:ptCount val="1"/>
                <c:pt idx="0">
                  <c:v>Avg. attendance at services ADULT</c:v>
                </c:pt>
              </c:strCache>
            </c:strRef>
          </c:tx>
          <c:spPr>
            <a:ln w="9525" cap="rnd">
              <a:solidFill>
                <a:schemeClr val="accent3"/>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Tables'!$AW$3:$AW$110</c:f>
              <c:numCache>
                <c:formatCode>0</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2-6430-428C-884F-91BA7E733385}"/>
            </c:ext>
          </c:extLst>
        </c:ser>
        <c:ser>
          <c:idx val="0"/>
          <c:order val="2"/>
          <c:tx>
            <c:strRef>
              <c:f>'Report Tables'!$B$52</c:f>
              <c:strCache>
                <c:ptCount val="1"/>
                <c:pt idx="0">
                  <c:v>Avg. attendance at services U16</c:v>
                </c:pt>
              </c:strCache>
            </c:strRef>
          </c:tx>
          <c:spPr>
            <a:ln w="9525" cap="rnd">
              <a:solidFill>
                <a:schemeClr val="accent1"/>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Tables'!$AV$3:$AV$110</c:f>
              <c:numCache>
                <c:formatCode>0</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1-6430-428C-884F-91BA7E733385}"/>
            </c:ext>
          </c:extLst>
        </c:ser>
        <c:dLbls>
          <c:showLegendKey val="0"/>
          <c:showVal val="0"/>
          <c:showCatName val="0"/>
          <c:showSerName val="0"/>
          <c:showPercent val="0"/>
          <c:showBubbleSize val="0"/>
        </c:dLbls>
        <c:smooth val="0"/>
        <c:axId val="373291520"/>
        <c:axId val="373291848"/>
        <c:extLst/>
      </c:lineChart>
      <c:catAx>
        <c:axId val="37329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291848"/>
        <c:crosses val="autoZero"/>
        <c:auto val="1"/>
        <c:lblAlgn val="ctr"/>
        <c:lblOffset val="100"/>
        <c:noMultiLvlLbl val="0"/>
      </c:catAx>
      <c:valAx>
        <c:axId val="373291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2915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Total service</a:t>
            </a:r>
            <a:r>
              <a:rPr lang="en-GB" b="1" baseline="0"/>
              <a:t> attendances by month</a:t>
            </a:r>
            <a:r>
              <a:rPr lang="en-GB" b="0" baseline="0"/>
              <a:t> (Select service above)</a:t>
            </a:r>
            <a:endParaRPr lang="en-GB" b="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2355024462972492E-2"/>
          <c:y val="0.19082023741379947"/>
          <c:w val="0.94131411630353978"/>
          <c:h val="0.5320469739523771"/>
        </c:manualLayout>
      </c:layout>
      <c:lineChart>
        <c:grouping val="standard"/>
        <c:varyColors val="0"/>
        <c:ser>
          <c:idx val="0"/>
          <c:order val="0"/>
          <c:tx>
            <c:strRef>
              <c:f>'Report Tables'!$AX$2</c:f>
              <c:strCache>
                <c:ptCount val="1"/>
                <c:pt idx="0">
                  <c:v>Total</c:v>
                </c:pt>
              </c:strCache>
            </c:strRef>
          </c:tx>
          <c:spPr>
            <a:ln w="19050" cap="rnd">
              <a:solidFill>
                <a:schemeClr val="accent2"/>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Tables'!$AX$3:$AX$110</c:f>
              <c:numCache>
                <c:formatCode>0</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xmlns:c15="http://schemas.microsoft.com/office/drawing/2012/chart">
            <c:ext xmlns:c16="http://schemas.microsoft.com/office/drawing/2014/chart" uri="{C3380CC4-5D6E-409C-BE32-E72D297353CC}">
              <c16:uniqueId val="{00000004-D2EF-4809-BEBD-207607EB2D76}"/>
            </c:ext>
          </c:extLst>
        </c:ser>
        <c:ser>
          <c:idx val="2"/>
          <c:order val="1"/>
          <c:tx>
            <c:strRef>
              <c:f>'Report Tables'!$AZ$2</c:f>
              <c:strCache>
                <c:ptCount val="1"/>
                <c:pt idx="0">
                  <c:v>Adults</c:v>
                </c:pt>
              </c:strCache>
            </c:strRef>
          </c:tx>
          <c:spPr>
            <a:ln w="9525" cap="rnd">
              <a:solidFill>
                <a:schemeClr val="accent3"/>
              </a:solidFill>
              <a:round/>
            </a:ln>
            <a:effectLst/>
          </c:spPr>
          <c:marker>
            <c:symbol val="none"/>
          </c:marker>
          <c:val>
            <c:numRef>
              <c:f>'Report Tables'!$AZ$3:$AZ$110</c:f>
              <c:numCache>
                <c:formatCode>0</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1-AC04-4D73-90D6-5EC2F89993D9}"/>
            </c:ext>
          </c:extLst>
        </c:ser>
        <c:ser>
          <c:idx val="1"/>
          <c:order val="2"/>
          <c:tx>
            <c:strRef>
              <c:f>'Report Tables'!$AY$2</c:f>
              <c:strCache>
                <c:ptCount val="1"/>
                <c:pt idx="0">
                  <c:v>U16</c:v>
                </c:pt>
              </c:strCache>
            </c:strRef>
          </c:tx>
          <c:spPr>
            <a:ln w="9525" cap="rnd">
              <a:solidFill>
                <a:srgbClr val="0070C0"/>
              </a:solidFill>
              <a:round/>
            </a:ln>
            <a:effectLst/>
          </c:spPr>
          <c:marker>
            <c:symbol val="none"/>
          </c:marker>
          <c:val>
            <c:numRef>
              <c:f>'Report Tables'!$AY$3:$AY$110</c:f>
              <c:numCache>
                <c:formatCode>0</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0-AC04-4D73-90D6-5EC2F89993D9}"/>
            </c:ext>
          </c:extLst>
        </c:ser>
        <c:dLbls>
          <c:showLegendKey val="0"/>
          <c:showVal val="0"/>
          <c:showCatName val="0"/>
          <c:showSerName val="0"/>
          <c:showPercent val="0"/>
          <c:showBubbleSize val="0"/>
        </c:dLbls>
        <c:smooth val="0"/>
        <c:axId val="373291520"/>
        <c:axId val="373291848"/>
        <c:extLst/>
      </c:lineChart>
      <c:catAx>
        <c:axId val="37329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291848"/>
        <c:crosses val="autoZero"/>
        <c:auto val="1"/>
        <c:lblAlgn val="ctr"/>
        <c:lblOffset val="100"/>
        <c:noMultiLvlLbl val="0"/>
      </c:catAx>
      <c:valAx>
        <c:axId val="373291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291520"/>
        <c:crosses val="autoZero"/>
        <c:crossBetween val="between"/>
      </c:valAx>
      <c:spPr>
        <a:noFill/>
        <a:ln>
          <a:noFill/>
        </a:ln>
        <a:effectLst/>
      </c:spPr>
    </c:plotArea>
    <c:legend>
      <c:legendPos val="b"/>
      <c:layout>
        <c:manualLayout>
          <c:xMode val="edge"/>
          <c:yMode val="edge"/>
          <c:x val="0.22466505357448535"/>
          <c:y val="0.93498889193407786"/>
          <c:w val="0.2294211370434624"/>
          <c:h val="6.5011029530158124E-2"/>
        </c:manualLayout>
      </c:layout>
      <c:overlay val="0"/>
      <c:spPr>
        <a:noFill/>
        <a:ln w="12700">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a:t>Avg service attendance</a:t>
            </a:r>
            <a:r>
              <a:rPr lang="en-GB" sz="1200" b="1" baseline="0"/>
              <a:t> by year</a:t>
            </a:r>
            <a:endParaRPr lang="en-GB" sz="1200" b="1"/>
          </a:p>
        </c:rich>
      </c:tx>
      <c:layout>
        <c:manualLayout>
          <c:xMode val="edge"/>
          <c:yMode val="edge"/>
          <c:x val="0.27189527329491975"/>
          <c:y val="3.680117180819820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988085672964349E-2"/>
          <c:y val="0.102219074598678"/>
          <c:w val="0.89804917242487547"/>
          <c:h val="0.64936110280005532"/>
        </c:manualLayout>
      </c:layout>
      <c:lineChart>
        <c:grouping val="standard"/>
        <c:varyColors val="0"/>
        <c:ser>
          <c:idx val="0"/>
          <c:order val="0"/>
          <c:tx>
            <c:strRef>
              <c:f>'Report Tables'!$B$29</c:f>
              <c:strCache>
                <c:ptCount val="1"/>
                <c:pt idx="0">
                  <c:v>0</c:v>
                </c:pt>
              </c:strCache>
            </c:strRef>
          </c:tx>
          <c:spPr>
            <a:ln w="12700" cap="rnd">
              <a:solidFill>
                <a:schemeClr val="accent1"/>
              </a:solidFill>
              <a:round/>
            </a:ln>
            <a:effectLst/>
          </c:spPr>
          <c:marker>
            <c:symbol val="none"/>
          </c:marker>
          <c:cat>
            <c:numRef>
              <c:f>'Report Tables'!$C$28:$K$28</c:f>
              <c:numCache>
                <c:formatCode>General</c:formatCode>
                <c:ptCount val="9"/>
                <c:pt idx="0">
                  <c:v>2017</c:v>
                </c:pt>
                <c:pt idx="1">
                  <c:v>2018</c:v>
                </c:pt>
                <c:pt idx="2">
                  <c:v>2019</c:v>
                </c:pt>
                <c:pt idx="3">
                  <c:v>2020</c:v>
                </c:pt>
                <c:pt idx="4">
                  <c:v>2021</c:v>
                </c:pt>
                <c:pt idx="5">
                  <c:v>2022</c:v>
                </c:pt>
                <c:pt idx="6">
                  <c:v>2023</c:v>
                </c:pt>
                <c:pt idx="7">
                  <c:v>2024</c:v>
                </c:pt>
                <c:pt idx="8">
                  <c:v>2025</c:v>
                </c:pt>
              </c:numCache>
            </c:numRef>
          </c:cat>
          <c:val>
            <c:numRef>
              <c:f>'Report Tables'!$C$29:$K$29</c:f>
              <c:numCache>
                <c:formatCode>0</c:formatCode>
                <c:ptCount val="9"/>
                <c:pt idx="0">
                  <c:v>#N/A</c:v>
                </c:pt>
                <c:pt idx="1">
                  <c:v>#N/A</c:v>
                </c:pt>
                <c:pt idx="2">
                  <c:v>#N/A</c:v>
                </c:pt>
                <c:pt idx="3">
                  <c:v>#N/A</c:v>
                </c:pt>
                <c:pt idx="4">
                  <c:v>#N/A</c:v>
                </c:pt>
                <c:pt idx="5">
                  <c:v>#N/A</c:v>
                </c:pt>
                <c:pt idx="6">
                  <c:v>#N/A</c:v>
                </c:pt>
                <c:pt idx="7">
                  <c:v>#N/A</c:v>
                </c:pt>
                <c:pt idx="8">
                  <c:v>#N/A</c:v>
                </c:pt>
              </c:numCache>
            </c:numRef>
          </c:val>
          <c:smooth val="0"/>
          <c:extLst xmlns:c15="http://schemas.microsoft.com/office/drawing/2012/chart">
            <c:ext xmlns:c16="http://schemas.microsoft.com/office/drawing/2014/chart" uri="{C3380CC4-5D6E-409C-BE32-E72D297353CC}">
              <c16:uniqueId val="{00000000-CA73-457D-83C8-893B1EDCA420}"/>
            </c:ext>
          </c:extLst>
        </c:ser>
        <c:ser>
          <c:idx val="1"/>
          <c:order val="1"/>
          <c:tx>
            <c:strRef>
              <c:f>'Report Tables'!$B$30</c:f>
              <c:strCache>
                <c:ptCount val="1"/>
                <c:pt idx="0">
                  <c:v>0</c:v>
                </c:pt>
              </c:strCache>
            </c:strRef>
          </c:tx>
          <c:spPr>
            <a:ln w="12700" cap="rnd">
              <a:solidFill>
                <a:schemeClr val="accent2"/>
              </a:solidFill>
              <a:round/>
            </a:ln>
            <a:effectLst/>
          </c:spPr>
          <c:marker>
            <c:symbol val="none"/>
          </c:marker>
          <c:cat>
            <c:numRef>
              <c:f>'Report Tables'!$C$28:$K$28</c:f>
              <c:numCache>
                <c:formatCode>General</c:formatCode>
                <c:ptCount val="9"/>
                <c:pt idx="0">
                  <c:v>2017</c:v>
                </c:pt>
                <c:pt idx="1">
                  <c:v>2018</c:v>
                </c:pt>
                <c:pt idx="2">
                  <c:v>2019</c:v>
                </c:pt>
                <c:pt idx="3">
                  <c:v>2020</c:v>
                </c:pt>
                <c:pt idx="4">
                  <c:v>2021</c:v>
                </c:pt>
                <c:pt idx="5">
                  <c:v>2022</c:v>
                </c:pt>
                <c:pt idx="6">
                  <c:v>2023</c:v>
                </c:pt>
                <c:pt idx="7">
                  <c:v>2024</c:v>
                </c:pt>
                <c:pt idx="8">
                  <c:v>2025</c:v>
                </c:pt>
              </c:numCache>
            </c:numRef>
          </c:cat>
          <c:val>
            <c:numRef>
              <c:f>'Report Tables'!$C$30:$K$30</c:f>
              <c:numCache>
                <c:formatCode>0</c:formatCode>
                <c:ptCount val="9"/>
                <c:pt idx="0">
                  <c:v>#N/A</c:v>
                </c:pt>
                <c:pt idx="1">
                  <c:v>#N/A</c:v>
                </c:pt>
                <c:pt idx="2">
                  <c:v>#N/A</c:v>
                </c:pt>
                <c:pt idx="3">
                  <c:v>#N/A</c:v>
                </c:pt>
                <c:pt idx="4">
                  <c:v>#N/A</c:v>
                </c:pt>
                <c:pt idx="5">
                  <c:v>#N/A</c:v>
                </c:pt>
                <c:pt idx="6">
                  <c:v>#N/A</c:v>
                </c:pt>
                <c:pt idx="7">
                  <c:v>#N/A</c:v>
                </c:pt>
                <c:pt idx="8">
                  <c:v>#N/A</c:v>
                </c:pt>
              </c:numCache>
            </c:numRef>
          </c:val>
          <c:smooth val="0"/>
          <c:extLst>
            <c:ext xmlns:c16="http://schemas.microsoft.com/office/drawing/2014/chart" uri="{C3380CC4-5D6E-409C-BE32-E72D297353CC}">
              <c16:uniqueId val="{00000003-CA73-457D-83C8-893B1EDCA420}"/>
            </c:ext>
          </c:extLst>
        </c:ser>
        <c:ser>
          <c:idx val="2"/>
          <c:order val="2"/>
          <c:tx>
            <c:strRef>
              <c:f>'Report Tables'!$B$31</c:f>
              <c:strCache>
                <c:ptCount val="1"/>
                <c:pt idx="0">
                  <c:v>0</c:v>
                </c:pt>
              </c:strCache>
            </c:strRef>
          </c:tx>
          <c:spPr>
            <a:ln w="12700" cap="rnd">
              <a:solidFill>
                <a:schemeClr val="accent3"/>
              </a:solidFill>
              <a:round/>
            </a:ln>
            <a:effectLst/>
          </c:spPr>
          <c:marker>
            <c:symbol val="none"/>
          </c:marker>
          <c:cat>
            <c:numRef>
              <c:f>'Report Tables'!$C$28:$K$28</c:f>
              <c:numCache>
                <c:formatCode>General</c:formatCode>
                <c:ptCount val="9"/>
                <c:pt idx="0">
                  <c:v>2017</c:v>
                </c:pt>
                <c:pt idx="1">
                  <c:v>2018</c:v>
                </c:pt>
                <c:pt idx="2">
                  <c:v>2019</c:v>
                </c:pt>
                <c:pt idx="3">
                  <c:v>2020</c:v>
                </c:pt>
                <c:pt idx="4">
                  <c:v>2021</c:v>
                </c:pt>
                <c:pt idx="5">
                  <c:v>2022</c:v>
                </c:pt>
                <c:pt idx="6">
                  <c:v>2023</c:v>
                </c:pt>
                <c:pt idx="7">
                  <c:v>2024</c:v>
                </c:pt>
                <c:pt idx="8">
                  <c:v>2025</c:v>
                </c:pt>
              </c:numCache>
            </c:numRef>
          </c:cat>
          <c:val>
            <c:numRef>
              <c:f>'Report Tables'!$C$31:$K$31</c:f>
              <c:numCache>
                <c:formatCode>0</c:formatCode>
                <c:ptCount val="9"/>
                <c:pt idx="0">
                  <c:v>#N/A</c:v>
                </c:pt>
                <c:pt idx="1">
                  <c:v>#N/A</c:v>
                </c:pt>
                <c:pt idx="2">
                  <c:v>#N/A</c:v>
                </c:pt>
                <c:pt idx="3">
                  <c:v>#N/A</c:v>
                </c:pt>
                <c:pt idx="4">
                  <c:v>#N/A</c:v>
                </c:pt>
                <c:pt idx="5">
                  <c:v>#N/A</c:v>
                </c:pt>
                <c:pt idx="6">
                  <c:v>#N/A</c:v>
                </c:pt>
                <c:pt idx="7">
                  <c:v>#N/A</c:v>
                </c:pt>
                <c:pt idx="8">
                  <c:v>#N/A</c:v>
                </c:pt>
              </c:numCache>
            </c:numRef>
          </c:val>
          <c:smooth val="0"/>
          <c:extLst>
            <c:ext xmlns:c16="http://schemas.microsoft.com/office/drawing/2014/chart" uri="{C3380CC4-5D6E-409C-BE32-E72D297353CC}">
              <c16:uniqueId val="{00000004-CA73-457D-83C8-893B1EDCA420}"/>
            </c:ext>
          </c:extLst>
        </c:ser>
        <c:ser>
          <c:idx val="3"/>
          <c:order val="3"/>
          <c:tx>
            <c:strRef>
              <c:f>'Report Tables'!$B$32</c:f>
              <c:strCache>
                <c:ptCount val="1"/>
                <c:pt idx="0">
                  <c:v>0</c:v>
                </c:pt>
              </c:strCache>
            </c:strRef>
          </c:tx>
          <c:spPr>
            <a:ln w="12700" cap="rnd">
              <a:solidFill>
                <a:schemeClr val="accent4"/>
              </a:solidFill>
              <a:round/>
            </a:ln>
            <a:effectLst/>
          </c:spPr>
          <c:marker>
            <c:symbol val="none"/>
          </c:marker>
          <c:cat>
            <c:numRef>
              <c:f>'Report Tables'!$C$28:$K$28</c:f>
              <c:numCache>
                <c:formatCode>General</c:formatCode>
                <c:ptCount val="9"/>
                <c:pt idx="0">
                  <c:v>2017</c:v>
                </c:pt>
                <c:pt idx="1">
                  <c:v>2018</c:v>
                </c:pt>
                <c:pt idx="2">
                  <c:v>2019</c:v>
                </c:pt>
                <c:pt idx="3">
                  <c:v>2020</c:v>
                </c:pt>
                <c:pt idx="4">
                  <c:v>2021</c:v>
                </c:pt>
                <c:pt idx="5">
                  <c:v>2022</c:v>
                </c:pt>
                <c:pt idx="6">
                  <c:v>2023</c:v>
                </c:pt>
                <c:pt idx="7">
                  <c:v>2024</c:v>
                </c:pt>
                <c:pt idx="8">
                  <c:v>2025</c:v>
                </c:pt>
              </c:numCache>
            </c:numRef>
          </c:cat>
          <c:val>
            <c:numRef>
              <c:f>'Report Tables'!$C$32:$K$32</c:f>
              <c:numCache>
                <c:formatCode>0</c:formatCode>
                <c:ptCount val="9"/>
                <c:pt idx="0">
                  <c:v>#N/A</c:v>
                </c:pt>
                <c:pt idx="1">
                  <c:v>#N/A</c:v>
                </c:pt>
                <c:pt idx="2">
                  <c:v>#N/A</c:v>
                </c:pt>
                <c:pt idx="3">
                  <c:v>#N/A</c:v>
                </c:pt>
                <c:pt idx="4">
                  <c:v>#N/A</c:v>
                </c:pt>
                <c:pt idx="5">
                  <c:v>#N/A</c:v>
                </c:pt>
                <c:pt idx="6">
                  <c:v>#N/A</c:v>
                </c:pt>
                <c:pt idx="7">
                  <c:v>#N/A</c:v>
                </c:pt>
                <c:pt idx="8">
                  <c:v>#N/A</c:v>
                </c:pt>
              </c:numCache>
            </c:numRef>
          </c:val>
          <c:smooth val="0"/>
          <c:extLst>
            <c:ext xmlns:c16="http://schemas.microsoft.com/office/drawing/2014/chart" uri="{C3380CC4-5D6E-409C-BE32-E72D297353CC}">
              <c16:uniqueId val="{00000005-CA73-457D-83C8-893B1EDCA420}"/>
            </c:ext>
          </c:extLst>
        </c:ser>
        <c:ser>
          <c:idx val="4"/>
          <c:order val="4"/>
          <c:tx>
            <c:strRef>
              <c:f>'Report Tables'!$B$33</c:f>
              <c:strCache>
                <c:ptCount val="1"/>
                <c:pt idx="0">
                  <c:v>0</c:v>
                </c:pt>
              </c:strCache>
            </c:strRef>
          </c:tx>
          <c:spPr>
            <a:ln w="12700" cap="rnd">
              <a:solidFill>
                <a:schemeClr val="accent5"/>
              </a:solidFill>
              <a:round/>
            </a:ln>
            <a:effectLst/>
          </c:spPr>
          <c:marker>
            <c:symbol val="none"/>
          </c:marker>
          <c:cat>
            <c:numRef>
              <c:f>'Report Tables'!$C$28:$K$28</c:f>
              <c:numCache>
                <c:formatCode>General</c:formatCode>
                <c:ptCount val="9"/>
                <c:pt idx="0">
                  <c:v>2017</c:v>
                </c:pt>
                <c:pt idx="1">
                  <c:v>2018</c:v>
                </c:pt>
                <c:pt idx="2">
                  <c:v>2019</c:v>
                </c:pt>
                <c:pt idx="3">
                  <c:v>2020</c:v>
                </c:pt>
                <c:pt idx="4">
                  <c:v>2021</c:v>
                </c:pt>
                <c:pt idx="5">
                  <c:v>2022</c:v>
                </c:pt>
                <c:pt idx="6">
                  <c:v>2023</c:v>
                </c:pt>
                <c:pt idx="7">
                  <c:v>2024</c:v>
                </c:pt>
                <c:pt idx="8">
                  <c:v>2025</c:v>
                </c:pt>
              </c:numCache>
            </c:numRef>
          </c:cat>
          <c:val>
            <c:numRef>
              <c:f>'Report Tables'!$C$33:$K$33</c:f>
              <c:numCache>
                <c:formatCode>0</c:formatCode>
                <c:ptCount val="9"/>
                <c:pt idx="0">
                  <c:v>#N/A</c:v>
                </c:pt>
                <c:pt idx="1">
                  <c:v>#N/A</c:v>
                </c:pt>
                <c:pt idx="2">
                  <c:v>#N/A</c:v>
                </c:pt>
                <c:pt idx="3">
                  <c:v>#N/A</c:v>
                </c:pt>
                <c:pt idx="4">
                  <c:v>#N/A</c:v>
                </c:pt>
                <c:pt idx="5">
                  <c:v>#N/A</c:v>
                </c:pt>
                <c:pt idx="6">
                  <c:v>#N/A</c:v>
                </c:pt>
                <c:pt idx="7">
                  <c:v>#N/A</c:v>
                </c:pt>
                <c:pt idx="8">
                  <c:v>#N/A</c:v>
                </c:pt>
              </c:numCache>
            </c:numRef>
          </c:val>
          <c:smooth val="0"/>
          <c:extLst>
            <c:ext xmlns:c16="http://schemas.microsoft.com/office/drawing/2014/chart" uri="{C3380CC4-5D6E-409C-BE32-E72D297353CC}">
              <c16:uniqueId val="{00000006-CA73-457D-83C8-893B1EDCA420}"/>
            </c:ext>
          </c:extLst>
        </c:ser>
        <c:ser>
          <c:idx val="5"/>
          <c:order val="5"/>
          <c:tx>
            <c:strRef>
              <c:f>'Report Tables'!$B$34</c:f>
              <c:strCache>
                <c:ptCount val="1"/>
                <c:pt idx="0">
                  <c:v>0</c:v>
                </c:pt>
              </c:strCache>
            </c:strRef>
          </c:tx>
          <c:spPr>
            <a:ln w="12700" cap="rnd">
              <a:solidFill>
                <a:schemeClr val="accent6"/>
              </a:solidFill>
              <a:round/>
            </a:ln>
            <a:effectLst/>
          </c:spPr>
          <c:marker>
            <c:symbol val="none"/>
          </c:marker>
          <c:cat>
            <c:numRef>
              <c:f>'Report Tables'!$C$28:$K$28</c:f>
              <c:numCache>
                <c:formatCode>General</c:formatCode>
                <c:ptCount val="9"/>
                <c:pt idx="0">
                  <c:v>2017</c:v>
                </c:pt>
                <c:pt idx="1">
                  <c:v>2018</c:v>
                </c:pt>
                <c:pt idx="2">
                  <c:v>2019</c:v>
                </c:pt>
                <c:pt idx="3">
                  <c:v>2020</c:v>
                </c:pt>
                <c:pt idx="4">
                  <c:v>2021</c:v>
                </c:pt>
                <c:pt idx="5">
                  <c:v>2022</c:v>
                </c:pt>
                <c:pt idx="6">
                  <c:v>2023</c:v>
                </c:pt>
                <c:pt idx="7">
                  <c:v>2024</c:v>
                </c:pt>
                <c:pt idx="8">
                  <c:v>2025</c:v>
                </c:pt>
              </c:numCache>
            </c:numRef>
          </c:cat>
          <c:val>
            <c:numRef>
              <c:f>'Report Tables'!$C$34:$K$34</c:f>
              <c:numCache>
                <c:formatCode>0</c:formatCode>
                <c:ptCount val="9"/>
                <c:pt idx="0">
                  <c:v>#N/A</c:v>
                </c:pt>
                <c:pt idx="1">
                  <c:v>#N/A</c:v>
                </c:pt>
                <c:pt idx="2">
                  <c:v>#N/A</c:v>
                </c:pt>
                <c:pt idx="3">
                  <c:v>#N/A</c:v>
                </c:pt>
                <c:pt idx="4">
                  <c:v>#N/A</c:v>
                </c:pt>
                <c:pt idx="5">
                  <c:v>#N/A</c:v>
                </c:pt>
                <c:pt idx="6">
                  <c:v>#N/A</c:v>
                </c:pt>
                <c:pt idx="7">
                  <c:v>#N/A</c:v>
                </c:pt>
                <c:pt idx="8">
                  <c:v>#N/A</c:v>
                </c:pt>
              </c:numCache>
            </c:numRef>
          </c:val>
          <c:smooth val="0"/>
          <c:extLst>
            <c:ext xmlns:c16="http://schemas.microsoft.com/office/drawing/2014/chart" uri="{C3380CC4-5D6E-409C-BE32-E72D297353CC}">
              <c16:uniqueId val="{00000007-CA73-457D-83C8-893B1EDCA420}"/>
            </c:ext>
          </c:extLst>
        </c:ser>
        <c:ser>
          <c:idx val="6"/>
          <c:order val="6"/>
          <c:tx>
            <c:strRef>
              <c:f>'Report Tables'!$B$35</c:f>
              <c:strCache>
                <c:ptCount val="1"/>
                <c:pt idx="0">
                  <c:v>0</c:v>
                </c:pt>
              </c:strCache>
            </c:strRef>
          </c:tx>
          <c:spPr>
            <a:ln w="12700" cap="rnd">
              <a:solidFill>
                <a:schemeClr val="accent1">
                  <a:lumMod val="60000"/>
                </a:schemeClr>
              </a:solidFill>
              <a:round/>
            </a:ln>
            <a:effectLst/>
          </c:spPr>
          <c:marker>
            <c:symbol val="none"/>
          </c:marker>
          <c:cat>
            <c:numRef>
              <c:f>'Report Tables'!$C$28:$K$28</c:f>
              <c:numCache>
                <c:formatCode>General</c:formatCode>
                <c:ptCount val="9"/>
                <c:pt idx="0">
                  <c:v>2017</c:v>
                </c:pt>
                <c:pt idx="1">
                  <c:v>2018</c:v>
                </c:pt>
                <c:pt idx="2">
                  <c:v>2019</c:v>
                </c:pt>
                <c:pt idx="3">
                  <c:v>2020</c:v>
                </c:pt>
                <c:pt idx="4">
                  <c:v>2021</c:v>
                </c:pt>
                <c:pt idx="5">
                  <c:v>2022</c:v>
                </c:pt>
                <c:pt idx="6">
                  <c:v>2023</c:v>
                </c:pt>
                <c:pt idx="7">
                  <c:v>2024</c:v>
                </c:pt>
                <c:pt idx="8">
                  <c:v>2025</c:v>
                </c:pt>
              </c:numCache>
            </c:numRef>
          </c:cat>
          <c:val>
            <c:numRef>
              <c:f>'Report Tables'!$C$35:$K$35</c:f>
              <c:numCache>
                <c:formatCode>0</c:formatCode>
                <c:ptCount val="9"/>
                <c:pt idx="0">
                  <c:v>#N/A</c:v>
                </c:pt>
                <c:pt idx="1">
                  <c:v>#N/A</c:v>
                </c:pt>
                <c:pt idx="2">
                  <c:v>#N/A</c:v>
                </c:pt>
                <c:pt idx="3">
                  <c:v>#N/A</c:v>
                </c:pt>
                <c:pt idx="4">
                  <c:v>#N/A</c:v>
                </c:pt>
                <c:pt idx="5">
                  <c:v>#N/A</c:v>
                </c:pt>
                <c:pt idx="6">
                  <c:v>#N/A</c:v>
                </c:pt>
                <c:pt idx="7">
                  <c:v>#N/A</c:v>
                </c:pt>
                <c:pt idx="8">
                  <c:v>#N/A</c:v>
                </c:pt>
              </c:numCache>
            </c:numRef>
          </c:val>
          <c:smooth val="0"/>
          <c:extLst>
            <c:ext xmlns:c16="http://schemas.microsoft.com/office/drawing/2014/chart" uri="{C3380CC4-5D6E-409C-BE32-E72D297353CC}">
              <c16:uniqueId val="{00000008-CA73-457D-83C8-893B1EDCA420}"/>
            </c:ext>
          </c:extLst>
        </c:ser>
        <c:ser>
          <c:idx val="7"/>
          <c:order val="7"/>
          <c:tx>
            <c:strRef>
              <c:f>'Report Tables'!$B$36</c:f>
              <c:strCache>
                <c:ptCount val="1"/>
                <c:pt idx="0">
                  <c:v>0</c:v>
                </c:pt>
              </c:strCache>
            </c:strRef>
          </c:tx>
          <c:spPr>
            <a:ln w="12700" cap="rnd">
              <a:solidFill>
                <a:schemeClr val="accent2">
                  <a:lumMod val="60000"/>
                </a:schemeClr>
              </a:solidFill>
              <a:round/>
            </a:ln>
            <a:effectLst/>
          </c:spPr>
          <c:marker>
            <c:symbol val="none"/>
          </c:marker>
          <c:cat>
            <c:numRef>
              <c:f>'Report Tables'!$C$28:$K$28</c:f>
              <c:numCache>
                <c:formatCode>General</c:formatCode>
                <c:ptCount val="9"/>
                <c:pt idx="0">
                  <c:v>2017</c:v>
                </c:pt>
                <c:pt idx="1">
                  <c:v>2018</c:v>
                </c:pt>
                <c:pt idx="2">
                  <c:v>2019</c:v>
                </c:pt>
                <c:pt idx="3">
                  <c:v>2020</c:v>
                </c:pt>
                <c:pt idx="4">
                  <c:v>2021</c:v>
                </c:pt>
                <c:pt idx="5">
                  <c:v>2022</c:v>
                </c:pt>
                <c:pt idx="6">
                  <c:v>2023</c:v>
                </c:pt>
                <c:pt idx="7">
                  <c:v>2024</c:v>
                </c:pt>
                <c:pt idx="8">
                  <c:v>2025</c:v>
                </c:pt>
              </c:numCache>
            </c:numRef>
          </c:cat>
          <c:val>
            <c:numRef>
              <c:f>'Report Tables'!$C$36:$K$36</c:f>
              <c:numCache>
                <c:formatCode>0</c:formatCode>
                <c:ptCount val="9"/>
                <c:pt idx="0">
                  <c:v>#N/A</c:v>
                </c:pt>
                <c:pt idx="1">
                  <c:v>#N/A</c:v>
                </c:pt>
                <c:pt idx="2">
                  <c:v>#N/A</c:v>
                </c:pt>
                <c:pt idx="3">
                  <c:v>#N/A</c:v>
                </c:pt>
                <c:pt idx="4">
                  <c:v>#N/A</c:v>
                </c:pt>
                <c:pt idx="5">
                  <c:v>#N/A</c:v>
                </c:pt>
                <c:pt idx="6">
                  <c:v>#N/A</c:v>
                </c:pt>
                <c:pt idx="7">
                  <c:v>#N/A</c:v>
                </c:pt>
                <c:pt idx="8">
                  <c:v>#N/A</c:v>
                </c:pt>
              </c:numCache>
            </c:numRef>
          </c:val>
          <c:smooth val="0"/>
          <c:extLst>
            <c:ext xmlns:c16="http://schemas.microsoft.com/office/drawing/2014/chart" uri="{C3380CC4-5D6E-409C-BE32-E72D297353CC}">
              <c16:uniqueId val="{00000009-CA73-457D-83C8-893B1EDCA420}"/>
            </c:ext>
          </c:extLst>
        </c:ser>
        <c:dLbls>
          <c:showLegendKey val="0"/>
          <c:showVal val="0"/>
          <c:showCatName val="0"/>
          <c:showSerName val="0"/>
          <c:showPercent val="0"/>
          <c:showBubbleSize val="0"/>
        </c:dLbls>
        <c:smooth val="0"/>
        <c:axId val="373291520"/>
        <c:axId val="373291848"/>
        <c:extLst/>
      </c:lineChart>
      <c:catAx>
        <c:axId val="37329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291848"/>
        <c:crosses val="autoZero"/>
        <c:auto val="1"/>
        <c:lblAlgn val="ctr"/>
        <c:lblOffset val="100"/>
        <c:noMultiLvlLbl val="0"/>
      </c:catAx>
      <c:valAx>
        <c:axId val="373291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291520"/>
        <c:crosses val="autoZero"/>
        <c:crossBetween val="between"/>
      </c:valAx>
      <c:spPr>
        <a:noFill/>
        <a:ln>
          <a:noFill/>
        </a:ln>
        <a:effectLst/>
      </c:spPr>
    </c:plotArea>
    <c:legend>
      <c:legendPos val="b"/>
      <c:layout>
        <c:manualLayout>
          <c:xMode val="edge"/>
          <c:yMode val="edge"/>
          <c:x val="9.8104267578797547E-2"/>
          <c:y val="0.85717546638114994"/>
          <c:w val="0.80379146484240493"/>
          <c:h val="0.114495921720833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baseline="0"/>
              <a:t>Total service attendances by month </a:t>
            </a:r>
            <a:r>
              <a:rPr lang="en-GB" b="0" baseline="0"/>
              <a:t>(All services)</a:t>
            </a:r>
            <a:endParaRPr lang="en-GB" b="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7"/>
          <c:order val="0"/>
          <c:tx>
            <c:strRef>
              <c:f>'Report Tables'!$AA$1</c:f>
              <c:strCache>
                <c:ptCount val="1"/>
                <c:pt idx="0">
                  <c:v>0</c:v>
                </c:pt>
              </c:strCache>
            </c:strRef>
          </c:tx>
          <c:spPr>
            <a:ln w="9525" cap="rnd">
              <a:solidFill>
                <a:schemeClr val="accent2">
                  <a:lumMod val="60000"/>
                </a:schemeClr>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Tables'!$AA$3:$AA$110</c:f>
              <c:numCache>
                <c:formatCode>General</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xmlns:c15="http://schemas.microsoft.com/office/drawing/2012/chart">
            <c:ext xmlns:c16="http://schemas.microsoft.com/office/drawing/2014/chart" uri="{C3380CC4-5D6E-409C-BE32-E72D297353CC}">
              <c16:uniqueId val="{00000000-3349-4FB5-8B37-F423C13AF0B1}"/>
            </c:ext>
          </c:extLst>
        </c:ser>
        <c:ser>
          <c:idx val="0"/>
          <c:order val="1"/>
          <c:tx>
            <c:strRef>
              <c:f>'Report Tables'!$AB$1</c:f>
              <c:strCache>
                <c:ptCount val="1"/>
                <c:pt idx="0">
                  <c:v>0</c:v>
                </c:pt>
              </c:strCache>
            </c:strRef>
          </c:tx>
          <c:spPr>
            <a:ln w="9525" cap="rnd">
              <a:solidFill>
                <a:schemeClr val="accent1"/>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Tables'!$AB$3:$AB$110</c:f>
              <c:numCache>
                <c:formatCode>General</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1-3349-4FB5-8B37-F423C13AF0B1}"/>
            </c:ext>
          </c:extLst>
        </c:ser>
        <c:ser>
          <c:idx val="1"/>
          <c:order val="2"/>
          <c:tx>
            <c:strRef>
              <c:f>'Report Tables'!$AC$1</c:f>
              <c:strCache>
                <c:ptCount val="1"/>
                <c:pt idx="0">
                  <c:v>0</c:v>
                </c:pt>
              </c:strCache>
            </c:strRef>
          </c:tx>
          <c:spPr>
            <a:ln w="9525" cap="rnd">
              <a:solidFill>
                <a:schemeClr val="accent2"/>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Tables'!$AC$3:$AC$110</c:f>
              <c:numCache>
                <c:formatCode>General</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2-3349-4FB5-8B37-F423C13AF0B1}"/>
            </c:ext>
          </c:extLst>
        </c:ser>
        <c:ser>
          <c:idx val="2"/>
          <c:order val="3"/>
          <c:tx>
            <c:strRef>
              <c:f>'Report Tables'!$AD$1</c:f>
              <c:strCache>
                <c:ptCount val="1"/>
                <c:pt idx="0">
                  <c:v>0</c:v>
                </c:pt>
              </c:strCache>
            </c:strRef>
          </c:tx>
          <c:spPr>
            <a:ln w="9525" cap="rnd">
              <a:solidFill>
                <a:schemeClr val="accent3"/>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Tables'!$AD$3:$AD$110</c:f>
              <c:numCache>
                <c:formatCode>General</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3-3349-4FB5-8B37-F423C13AF0B1}"/>
            </c:ext>
          </c:extLst>
        </c:ser>
        <c:ser>
          <c:idx val="3"/>
          <c:order val="4"/>
          <c:tx>
            <c:strRef>
              <c:f>'Report Tables'!$AE$1</c:f>
              <c:strCache>
                <c:ptCount val="1"/>
                <c:pt idx="0">
                  <c:v>0</c:v>
                </c:pt>
              </c:strCache>
            </c:strRef>
          </c:tx>
          <c:spPr>
            <a:ln w="9525" cap="rnd">
              <a:solidFill>
                <a:schemeClr val="accent4"/>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Tables'!$AE$3:$AE$110</c:f>
              <c:numCache>
                <c:formatCode>General</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4-3349-4FB5-8B37-F423C13AF0B1}"/>
            </c:ext>
          </c:extLst>
        </c:ser>
        <c:ser>
          <c:idx val="4"/>
          <c:order val="5"/>
          <c:tx>
            <c:strRef>
              <c:f>'Report Tables'!$AG$1</c:f>
              <c:strCache>
                <c:ptCount val="1"/>
                <c:pt idx="0">
                  <c:v>0</c:v>
                </c:pt>
              </c:strCache>
            </c:strRef>
          </c:tx>
          <c:spPr>
            <a:ln w="9525" cap="rnd">
              <a:solidFill>
                <a:schemeClr val="accent5"/>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Tables'!$AG$3:$AG$110</c:f>
              <c:numCache>
                <c:formatCode>General</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5-3349-4FB5-8B37-F423C13AF0B1}"/>
            </c:ext>
          </c:extLst>
        </c:ser>
        <c:ser>
          <c:idx val="5"/>
          <c:order val="6"/>
          <c:tx>
            <c:strRef>
              <c:f>'Report Tables'!$AF$1</c:f>
              <c:strCache>
                <c:ptCount val="1"/>
                <c:pt idx="0">
                  <c:v>0</c:v>
                </c:pt>
              </c:strCache>
            </c:strRef>
          </c:tx>
          <c:spPr>
            <a:ln w="9525" cap="rnd">
              <a:solidFill>
                <a:schemeClr val="accent6"/>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Tables'!$AF$3:$AF$110</c:f>
              <c:numCache>
                <c:formatCode>General</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6-3349-4FB5-8B37-F423C13AF0B1}"/>
            </c:ext>
          </c:extLst>
        </c:ser>
        <c:ser>
          <c:idx val="6"/>
          <c:order val="7"/>
          <c:tx>
            <c:strRef>
              <c:f>'Report Tables'!$AH$1</c:f>
              <c:strCache>
                <c:ptCount val="1"/>
                <c:pt idx="0">
                  <c:v>0</c:v>
                </c:pt>
              </c:strCache>
            </c:strRef>
          </c:tx>
          <c:spPr>
            <a:ln w="9525" cap="rnd">
              <a:solidFill>
                <a:schemeClr val="accent1">
                  <a:lumMod val="60000"/>
                </a:schemeClr>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Tables'!$AH$3:$AH$110</c:f>
              <c:numCache>
                <c:formatCode>General</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7-3349-4FB5-8B37-F423C13AF0B1}"/>
            </c:ext>
          </c:extLst>
        </c:ser>
        <c:dLbls>
          <c:showLegendKey val="0"/>
          <c:showVal val="0"/>
          <c:showCatName val="0"/>
          <c:showSerName val="0"/>
          <c:showPercent val="0"/>
          <c:showBubbleSize val="0"/>
        </c:dLbls>
        <c:smooth val="0"/>
        <c:axId val="373291520"/>
        <c:axId val="373291848"/>
        <c:extLst/>
      </c:lineChart>
      <c:catAx>
        <c:axId val="37329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291848"/>
        <c:crosses val="autoZero"/>
        <c:auto val="1"/>
        <c:lblAlgn val="ctr"/>
        <c:lblOffset val="100"/>
        <c:noMultiLvlLbl val="0"/>
      </c:catAx>
      <c:valAx>
        <c:axId val="373291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291520"/>
        <c:crosses val="autoZero"/>
        <c:crossBetween val="between"/>
      </c:valAx>
      <c:spPr>
        <a:noFill/>
        <a:ln>
          <a:noFill/>
        </a:ln>
        <a:effectLst/>
      </c:spPr>
    </c:plotArea>
    <c:legend>
      <c:legendPos val="b"/>
      <c:layout/>
      <c:overlay val="0"/>
      <c:spPr>
        <a:noFill/>
        <a:ln w="9525">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Total</a:t>
            </a:r>
            <a:r>
              <a:rPr lang="en-GB" b="1" baseline="0"/>
              <a:t> attendances by month</a:t>
            </a:r>
            <a:endParaRPr lang="en-GB"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7"/>
          <c:order val="0"/>
          <c:tx>
            <c:v>Total Service Attendances</c:v>
          </c:tx>
          <c:spPr>
            <a:ln w="19050" cap="rnd">
              <a:solidFill>
                <a:schemeClr val="accent2"/>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Tables'!$AI$3:$AI$110</c:f>
              <c:numCache>
                <c:formatCode>General</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xmlns:c15="http://schemas.microsoft.com/office/drawing/2012/chart">
            <c:ext xmlns:c16="http://schemas.microsoft.com/office/drawing/2014/chart" uri="{C3380CC4-5D6E-409C-BE32-E72D297353CC}">
              <c16:uniqueId val="{00000000-3B55-474A-99EC-C63726B14AE9}"/>
            </c:ext>
          </c:extLst>
        </c:ser>
        <c:ser>
          <c:idx val="1"/>
          <c:order val="1"/>
          <c:tx>
            <c:v>Total Adult Service Attendances</c:v>
          </c:tx>
          <c:spPr>
            <a:ln w="9525" cap="rnd">
              <a:solidFill>
                <a:schemeClr val="accent3"/>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Tables'!$AK$3:$AK$110</c:f>
              <c:numCache>
                <c:formatCode>General</c:formatCode>
                <c:ptCount val="108"/>
                <c:pt idx="0">
                  <c:v>0</c:v>
                </c:pt>
                <c:pt idx="1">
                  <c:v>#N/A</c:v>
                </c:pt>
                <c:pt idx="2">
                  <c:v>#N/A</c:v>
                </c:pt>
                <c:pt idx="3">
                  <c:v>#N/A</c:v>
                </c:pt>
                <c:pt idx="4">
                  <c:v>#N/A</c:v>
                </c:pt>
                <c:pt idx="5">
                  <c:v>#N/A</c:v>
                </c:pt>
                <c:pt idx="6">
                  <c:v>#N/A</c:v>
                </c:pt>
                <c:pt idx="7">
                  <c:v>#N/A</c:v>
                </c:pt>
                <c:pt idx="8">
                  <c:v>#N/A</c:v>
                </c:pt>
                <c:pt idx="9">
                  <c:v>#N/A</c:v>
                </c:pt>
                <c:pt idx="10">
                  <c:v>#N/A</c:v>
                </c:pt>
                <c:pt idx="11">
                  <c:v>#N/A</c:v>
                </c:pt>
                <c:pt idx="12">
                  <c:v>0</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1-3B55-474A-99EC-C63726B14AE9}"/>
            </c:ext>
          </c:extLst>
        </c:ser>
        <c:ser>
          <c:idx val="0"/>
          <c:order val="2"/>
          <c:tx>
            <c:v>Total U16 Service Attendances</c:v>
          </c:tx>
          <c:spPr>
            <a:ln w="9525" cap="rnd">
              <a:solidFill>
                <a:schemeClr val="accent1"/>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Tables'!$AJ$3:$AJ$110</c:f>
              <c:numCache>
                <c:formatCode>General</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2-3B55-474A-99EC-C63726B14AE9}"/>
            </c:ext>
          </c:extLst>
        </c:ser>
        <c:dLbls>
          <c:showLegendKey val="0"/>
          <c:showVal val="0"/>
          <c:showCatName val="0"/>
          <c:showSerName val="0"/>
          <c:showPercent val="0"/>
          <c:showBubbleSize val="0"/>
        </c:dLbls>
        <c:smooth val="0"/>
        <c:axId val="373291520"/>
        <c:axId val="373291848"/>
        <c:extLst/>
      </c:lineChart>
      <c:catAx>
        <c:axId val="37329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291848"/>
        <c:crosses val="autoZero"/>
        <c:auto val="1"/>
        <c:lblAlgn val="ctr"/>
        <c:lblOffset val="100"/>
        <c:noMultiLvlLbl val="0"/>
      </c:catAx>
      <c:valAx>
        <c:axId val="373291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2915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baseline="0"/>
              <a:t>Avg service attendance by month </a:t>
            </a:r>
            <a:r>
              <a:rPr lang="en-GB" b="0" baseline="0"/>
              <a:t>(All services)</a:t>
            </a:r>
            <a:endParaRPr lang="en-GB" b="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7"/>
          <c:order val="0"/>
          <c:tx>
            <c:strRef>
              <c:f>'Report Tables'!$AA$1</c:f>
              <c:strCache>
                <c:ptCount val="1"/>
                <c:pt idx="0">
                  <c:v>0</c:v>
                </c:pt>
              </c:strCache>
            </c:strRef>
          </c:tx>
          <c:spPr>
            <a:ln w="9525" cap="rnd">
              <a:solidFill>
                <a:schemeClr val="accent2">
                  <a:lumMod val="60000"/>
                </a:schemeClr>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Tables'!$AM$3:$AM$110</c:f>
              <c:numCache>
                <c:formatCode>0</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xmlns:c15="http://schemas.microsoft.com/office/drawing/2012/chart">
            <c:ext xmlns:c16="http://schemas.microsoft.com/office/drawing/2014/chart" uri="{C3380CC4-5D6E-409C-BE32-E72D297353CC}">
              <c16:uniqueId val="{00000000-948D-4EC7-AA93-1B15F8ADC3C6}"/>
            </c:ext>
          </c:extLst>
        </c:ser>
        <c:ser>
          <c:idx val="0"/>
          <c:order val="1"/>
          <c:tx>
            <c:strRef>
              <c:f>'Report Tables'!$AB$1</c:f>
              <c:strCache>
                <c:ptCount val="1"/>
                <c:pt idx="0">
                  <c:v>0</c:v>
                </c:pt>
              </c:strCache>
            </c:strRef>
          </c:tx>
          <c:spPr>
            <a:ln w="9525" cap="rnd">
              <a:solidFill>
                <a:schemeClr val="accent1"/>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Tables'!$AN$3:$AN$110</c:f>
              <c:numCache>
                <c:formatCode>0</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1-948D-4EC7-AA93-1B15F8ADC3C6}"/>
            </c:ext>
          </c:extLst>
        </c:ser>
        <c:ser>
          <c:idx val="1"/>
          <c:order val="2"/>
          <c:tx>
            <c:strRef>
              <c:f>'Report Tables'!$AC$1</c:f>
              <c:strCache>
                <c:ptCount val="1"/>
                <c:pt idx="0">
                  <c:v>0</c:v>
                </c:pt>
              </c:strCache>
            </c:strRef>
          </c:tx>
          <c:spPr>
            <a:ln w="9525" cap="rnd">
              <a:solidFill>
                <a:schemeClr val="accent2"/>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Tables'!$AO$3:$AO$110</c:f>
              <c:numCache>
                <c:formatCode>0</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2-948D-4EC7-AA93-1B15F8ADC3C6}"/>
            </c:ext>
          </c:extLst>
        </c:ser>
        <c:ser>
          <c:idx val="2"/>
          <c:order val="3"/>
          <c:tx>
            <c:strRef>
              <c:f>'Report Tables'!$AD$1</c:f>
              <c:strCache>
                <c:ptCount val="1"/>
                <c:pt idx="0">
                  <c:v>0</c:v>
                </c:pt>
              </c:strCache>
            </c:strRef>
          </c:tx>
          <c:spPr>
            <a:ln w="9525" cap="rnd">
              <a:solidFill>
                <a:schemeClr val="accent3"/>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Tables'!$AP$3:$AP$110</c:f>
              <c:numCache>
                <c:formatCode>0</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3-948D-4EC7-AA93-1B15F8ADC3C6}"/>
            </c:ext>
          </c:extLst>
        </c:ser>
        <c:ser>
          <c:idx val="3"/>
          <c:order val="4"/>
          <c:tx>
            <c:strRef>
              <c:f>'Report Tables'!$AE$1</c:f>
              <c:strCache>
                <c:ptCount val="1"/>
                <c:pt idx="0">
                  <c:v>0</c:v>
                </c:pt>
              </c:strCache>
            </c:strRef>
          </c:tx>
          <c:spPr>
            <a:ln w="9525" cap="rnd">
              <a:solidFill>
                <a:schemeClr val="accent4"/>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Tables'!$AQ$3:$AQ$110</c:f>
              <c:numCache>
                <c:formatCode>0</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4-948D-4EC7-AA93-1B15F8ADC3C6}"/>
            </c:ext>
          </c:extLst>
        </c:ser>
        <c:ser>
          <c:idx val="4"/>
          <c:order val="5"/>
          <c:tx>
            <c:strRef>
              <c:f>'Report Tables'!$AG$1</c:f>
              <c:strCache>
                <c:ptCount val="1"/>
                <c:pt idx="0">
                  <c:v>0</c:v>
                </c:pt>
              </c:strCache>
            </c:strRef>
          </c:tx>
          <c:spPr>
            <a:ln w="9525" cap="rnd">
              <a:solidFill>
                <a:schemeClr val="accent5"/>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Tables'!$AR$3:$AR$110</c:f>
              <c:numCache>
                <c:formatCode>0</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5-948D-4EC7-AA93-1B15F8ADC3C6}"/>
            </c:ext>
          </c:extLst>
        </c:ser>
        <c:ser>
          <c:idx val="5"/>
          <c:order val="6"/>
          <c:tx>
            <c:strRef>
              <c:f>'Report Tables'!$AF$1</c:f>
              <c:strCache>
                <c:ptCount val="1"/>
                <c:pt idx="0">
                  <c:v>0</c:v>
                </c:pt>
              </c:strCache>
            </c:strRef>
          </c:tx>
          <c:spPr>
            <a:ln w="9525" cap="rnd">
              <a:solidFill>
                <a:schemeClr val="accent6"/>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Tables'!$AS$3:$AS$110</c:f>
              <c:numCache>
                <c:formatCode>0</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6-948D-4EC7-AA93-1B15F8ADC3C6}"/>
            </c:ext>
          </c:extLst>
        </c:ser>
        <c:ser>
          <c:idx val="6"/>
          <c:order val="7"/>
          <c:tx>
            <c:strRef>
              <c:f>'Report Tables'!$AH$1</c:f>
              <c:strCache>
                <c:ptCount val="1"/>
                <c:pt idx="0">
                  <c:v>0</c:v>
                </c:pt>
              </c:strCache>
            </c:strRef>
          </c:tx>
          <c:spPr>
            <a:ln w="9525" cap="rnd">
              <a:solidFill>
                <a:schemeClr val="accent1">
                  <a:lumMod val="60000"/>
                </a:schemeClr>
              </a:solidFill>
              <a:round/>
            </a:ln>
            <a:effectLst/>
          </c:spPr>
          <c:marker>
            <c:symbol val="none"/>
          </c:marker>
          <c:cat>
            <c:multiLvlStrRef>
              <c:f>'Report Tables'!$Y$3:$Z$110</c:f>
              <c:multiLvlStrCache>
                <c:ptCount val="108"/>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pt idx="60">
                    <c:v>Jan</c:v>
                  </c:pt>
                  <c:pt idx="61">
                    <c:v>Feb</c:v>
                  </c:pt>
                  <c:pt idx="62">
                    <c:v>Mar</c:v>
                  </c:pt>
                  <c:pt idx="63">
                    <c:v>Apr</c:v>
                  </c:pt>
                  <c:pt idx="64">
                    <c:v>May</c:v>
                  </c:pt>
                  <c:pt idx="65">
                    <c:v>Jun</c:v>
                  </c:pt>
                  <c:pt idx="66">
                    <c:v>Jul</c:v>
                  </c:pt>
                  <c:pt idx="67">
                    <c:v>Aug</c:v>
                  </c:pt>
                  <c:pt idx="68">
                    <c:v>Sep</c:v>
                  </c:pt>
                  <c:pt idx="69">
                    <c:v>Oct</c:v>
                  </c:pt>
                  <c:pt idx="70">
                    <c:v>Nov</c:v>
                  </c:pt>
                  <c:pt idx="71">
                    <c:v>Dec</c:v>
                  </c:pt>
                  <c:pt idx="72">
                    <c:v>Jan</c:v>
                  </c:pt>
                  <c:pt idx="73">
                    <c:v>Feb</c:v>
                  </c:pt>
                  <c:pt idx="74">
                    <c:v>Mar</c:v>
                  </c:pt>
                  <c:pt idx="75">
                    <c:v>Apr</c:v>
                  </c:pt>
                  <c:pt idx="76">
                    <c:v>May</c:v>
                  </c:pt>
                  <c:pt idx="77">
                    <c:v>Jun</c:v>
                  </c:pt>
                  <c:pt idx="78">
                    <c:v>Jul</c:v>
                  </c:pt>
                  <c:pt idx="79">
                    <c:v>Aug</c:v>
                  </c:pt>
                  <c:pt idx="80">
                    <c:v>Sep</c:v>
                  </c:pt>
                  <c:pt idx="81">
                    <c:v>Oct</c:v>
                  </c:pt>
                  <c:pt idx="82">
                    <c:v>Nov</c:v>
                  </c:pt>
                  <c:pt idx="83">
                    <c:v>Dec</c:v>
                  </c:pt>
                  <c:pt idx="84">
                    <c:v>Jan</c:v>
                  </c:pt>
                  <c:pt idx="85">
                    <c:v>Feb</c:v>
                  </c:pt>
                  <c:pt idx="86">
                    <c:v>Mar</c:v>
                  </c:pt>
                  <c:pt idx="87">
                    <c:v>Apr</c:v>
                  </c:pt>
                  <c:pt idx="88">
                    <c:v>May</c:v>
                  </c:pt>
                  <c:pt idx="89">
                    <c:v>Jun</c:v>
                  </c:pt>
                  <c:pt idx="90">
                    <c:v>Jul</c:v>
                  </c:pt>
                  <c:pt idx="91">
                    <c:v>Aug</c:v>
                  </c:pt>
                  <c:pt idx="92">
                    <c:v>Sep</c:v>
                  </c:pt>
                  <c:pt idx="93">
                    <c:v>Oct</c:v>
                  </c:pt>
                  <c:pt idx="94">
                    <c:v>Nov</c:v>
                  </c:pt>
                  <c:pt idx="95">
                    <c:v>Dec</c:v>
                  </c:pt>
                  <c:pt idx="96">
                    <c:v>Jan</c:v>
                  </c:pt>
                  <c:pt idx="97">
                    <c:v>Feb</c:v>
                  </c:pt>
                  <c:pt idx="98">
                    <c:v>Mar</c:v>
                  </c:pt>
                  <c:pt idx="99">
                    <c:v>Apr</c:v>
                  </c:pt>
                  <c:pt idx="100">
                    <c:v>May</c:v>
                  </c:pt>
                  <c:pt idx="101">
                    <c:v>Jun</c:v>
                  </c:pt>
                  <c:pt idx="102">
                    <c:v>Jul</c:v>
                  </c:pt>
                  <c:pt idx="103">
                    <c:v>Aug</c:v>
                  </c:pt>
                  <c:pt idx="104">
                    <c:v>Sep</c:v>
                  </c:pt>
                  <c:pt idx="105">
                    <c:v>Oct</c:v>
                  </c:pt>
                  <c:pt idx="106">
                    <c:v>Nov</c:v>
                  </c:pt>
                  <c:pt idx="107">
                    <c:v>Dec</c:v>
                  </c:pt>
                </c:lvl>
                <c:lvl>
                  <c:pt idx="0">
                    <c:v>2017</c:v>
                  </c:pt>
                  <c:pt idx="12">
                    <c:v>2018</c:v>
                  </c:pt>
                  <c:pt idx="24">
                    <c:v>2019</c:v>
                  </c:pt>
                  <c:pt idx="36">
                    <c:v>2020</c:v>
                  </c:pt>
                  <c:pt idx="48">
                    <c:v>2021</c:v>
                  </c:pt>
                  <c:pt idx="60">
                    <c:v>2022</c:v>
                  </c:pt>
                  <c:pt idx="72">
                    <c:v>2023</c:v>
                  </c:pt>
                  <c:pt idx="84">
                    <c:v>2024</c:v>
                  </c:pt>
                  <c:pt idx="96">
                    <c:v>2025</c:v>
                  </c:pt>
                </c:lvl>
              </c:multiLvlStrCache>
            </c:multiLvlStrRef>
          </c:cat>
          <c:val>
            <c:numRef>
              <c:f>'Report Tables'!$AT$3:$AT$110</c:f>
              <c:numCache>
                <c:formatCode>0</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numCache>
            </c:numRef>
          </c:val>
          <c:smooth val="0"/>
          <c:extLst>
            <c:ext xmlns:c16="http://schemas.microsoft.com/office/drawing/2014/chart" uri="{C3380CC4-5D6E-409C-BE32-E72D297353CC}">
              <c16:uniqueId val="{00000007-948D-4EC7-AA93-1B15F8ADC3C6}"/>
            </c:ext>
          </c:extLst>
        </c:ser>
        <c:dLbls>
          <c:showLegendKey val="0"/>
          <c:showVal val="0"/>
          <c:showCatName val="0"/>
          <c:showSerName val="0"/>
          <c:showPercent val="0"/>
          <c:showBubbleSize val="0"/>
        </c:dLbls>
        <c:smooth val="0"/>
        <c:axId val="373291520"/>
        <c:axId val="373291848"/>
        <c:extLst/>
      </c:lineChart>
      <c:catAx>
        <c:axId val="37329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291848"/>
        <c:crosses val="autoZero"/>
        <c:auto val="1"/>
        <c:lblAlgn val="ctr"/>
        <c:lblOffset val="100"/>
        <c:noMultiLvlLbl val="0"/>
      </c:catAx>
      <c:valAx>
        <c:axId val="373291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291520"/>
        <c:crosses val="autoZero"/>
        <c:crossBetween val="between"/>
      </c:valAx>
      <c:spPr>
        <a:noFill/>
        <a:ln>
          <a:noFill/>
        </a:ln>
        <a:effectLst/>
      </c:spPr>
    </c:plotArea>
    <c:legend>
      <c:legendPos val="b"/>
      <c:layout/>
      <c:overlay val="0"/>
      <c:spPr>
        <a:noFill/>
        <a:ln w="9525">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22861</xdr:colOff>
      <xdr:row>0</xdr:row>
      <xdr:rowOff>175260</xdr:rowOff>
    </xdr:from>
    <xdr:to>
      <xdr:col>5</xdr:col>
      <xdr:colOff>599211</xdr:colOff>
      <xdr:row>4</xdr:row>
      <xdr:rowOff>60960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1661" y="175260"/>
          <a:ext cx="1795550" cy="617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xdr:row>
      <xdr:rowOff>165100</xdr:rowOff>
    </xdr:from>
    <xdr:to>
      <xdr:col>6</xdr:col>
      <xdr:colOff>571500</xdr:colOff>
      <xdr:row>17</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76201</xdr:colOff>
      <xdr:row>17</xdr:row>
      <xdr:rowOff>74296</xdr:rowOff>
    </xdr:from>
    <xdr:to>
      <xdr:col>13</xdr:col>
      <xdr:colOff>596901</xdr:colOff>
      <xdr:row>32</xdr:row>
      <xdr:rowOff>76200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78014</xdr:colOff>
      <xdr:row>35</xdr:row>
      <xdr:rowOff>35198</xdr:rowOff>
    </xdr:from>
    <xdr:to>
      <xdr:col>13</xdr:col>
      <xdr:colOff>566057</xdr:colOff>
      <xdr:row>48</xdr:row>
      <xdr:rowOff>97972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12700</xdr:colOff>
      <xdr:row>1</xdr:row>
      <xdr:rowOff>165100</xdr:rowOff>
    </xdr:from>
    <xdr:to>
      <xdr:col>14</xdr:col>
      <xdr:colOff>0</xdr:colOff>
      <xdr:row>17</xdr:row>
      <xdr:rowOff>10160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91441</xdr:colOff>
      <xdr:row>81</xdr:row>
      <xdr:rowOff>80555</xdr:rowOff>
    </xdr:from>
    <xdr:to>
      <xdr:col>13</xdr:col>
      <xdr:colOff>555173</xdr:colOff>
      <xdr:row>98</xdr:row>
      <xdr:rowOff>54428</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43543</xdr:colOff>
      <xdr:row>66</xdr:row>
      <xdr:rowOff>0</xdr:rowOff>
    </xdr:from>
    <xdr:to>
      <xdr:col>13</xdr:col>
      <xdr:colOff>564243</xdr:colOff>
      <xdr:row>81</xdr:row>
      <xdr:rowOff>1905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87085</xdr:colOff>
      <xdr:row>48</xdr:row>
      <xdr:rowOff>130628</xdr:rowOff>
    </xdr:from>
    <xdr:to>
      <xdr:col>13</xdr:col>
      <xdr:colOff>550817</xdr:colOff>
      <xdr:row>65</xdr:row>
      <xdr:rowOff>104500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ris.priddy@bristoldiocese.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6"/>
  <sheetViews>
    <sheetView showGridLines="0" tabSelected="1" workbookViewId="0">
      <selection activeCell="C6" sqref="C6:E6"/>
    </sheetView>
  </sheetViews>
  <sheetFormatPr defaultRowHeight="14.4" x14ac:dyDescent="0.3"/>
  <cols>
    <col min="6" max="6" width="14.5546875" customWidth="1"/>
  </cols>
  <sheetData>
    <row r="2" spans="1:7" x14ac:dyDescent="0.3">
      <c r="A2" t="s">
        <v>94</v>
      </c>
    </row>
    <row r="3" spans="1:7" x14ac:dyDescent="0.3">
      <c r="A3" s="19" t="s">
        <v>4</v>
      </c>
    </row>
    <row r="4" spans="1:7" x14ac:dyDescent="0.3">
      <c r="A4" t="s">
        <v>5</v>
      </c>
    </row>
    <row r="6" spans="1:7" x14ac:dyDescent="0.3">
      <c r="A6" s="12" t="s">
        <v>70</v>
      </c>
      <c r="C6" s="186"/>
      <c r="D6" s="187"/>
      <c r="E6" s="188"/>
    </row>
    <row r="7" spans="1:7" x14ac:dyDescent="0.3">
      <c r="C7" s="44"/>
      <c r="D7" s="44"/>
      <c r="E7" s="44"/>
      <c r="F7" s="92" t="s">
        <v>80</v>
      </c>
    </row>
    <row r="8" spans="1:7" x14ac:dyDescent="0.3">
      <c r="A8" s="12" t="s">
        <v>71</v>
      </c>
      <c r="C8" s="183"/>
      <c r="D8" s="184"/>
      <c r="E8" s="185"/>
      <c r="F8" s="142"/>
      <c r="G8" s="76"/>
    </row>
    <row r="9" spans="1:7" x14ac:dyDescent="0.3">
      <c r="C9" s="183"/>
      <c r="D9" s="184"/>
      <c r="E9" s="185"/>
      <c r="F9" s="142"/>
      <c r="G9" s="76" t="s">
        <v>78</v>
      </c>
    </row>
    <row r="10" spans="1:7" x14ac:dyDescent="0.3">
      <c r="C10" s="183"/>
      <c r="D10" s="184"/>
      <c r="E10" s="185"/>
      <c r="F10" s="142"/>
      <c r="G10" s="76" t="s">
        <v>79</v>
      </c>
    </row>
    <row r="11" spans="1:7" x14ac:dyDescent="0.3">
      <c r="C11" s="179"/>
      <c r="D11" s="180"/>
      <c r="E11" s="181"/>
      <c r="F11" s="142"/>
    </row>
    <row r="12" spans="1:7" x14ac:dyDescent="0.3">
      <c r="C12" s="179"/>
      <c r="D12" s="180"/>
      <c r="E12" s="181"/>
      <c r="F12" s="142"/>
    </row>
    <row r="13" spans="1:7" x14ac:dyDescent="0.3">
      <c r="C13" s="179"/>
      <c r="D13" s="180"/>
      <c r="E13" s="181"/>
      <c r="F13" s="142"/>
    </row>
    <row r="14" spans="1:7" x14ac:dyDescent="0.3">
      <c r="C14" s="183"/>
      <c r="D14" s="184"/>
      <c r="E14" s="185"/>
      <c r="F14" s="142"/>
    </row>
    <row r="15" spans="1:7" x14ac:dyDescent="0.3">
      <c r="C15" s="183"/>
      <c r="D15" s="184"/>
      <c r="E15" s="185"/>
      <c r="F15" s="142"/>
    </row>
    <row r="16" spans="1:7" x14ac:dyDescent="0.3">
      <c r="C16" s="140"/>
      <c r="D16" s="140"/>
      <c r="E16" s="140"/>
      <c r="F16" s="141"/>
    </row>
    <row r="17" spans="3:3" x14ac:dyDescent="0.3">
      <c r="C17" t="s">
        <v>118</v>
      </c>
    </row>
    <row r="18" spans="3:3" x14ac:dyDescent="0.3">
      <c r="C18" t="s">
        <v>119</v>
      </c>
    </row>
    <row r="19" spans="3:3" x14ac:dyDescent="0.3">
      <c r="C19" t="s">
        <v>120</v>
      </c>
    </row>
    <row r="21" spans="3:3" x14ac:dyDescent="0.3">
      <c r="C21" s="12" t="s">
        <v>114</v>
      </c>
    </row>
    <row r="22" spans="3:3" x14ac:dyDescent="0.3">
      <c r="C22" t="s">
        <v>115</v>
      </c>
    </row>
    <row r="23" spans="3:3" x14ac:dyDescent="0.3">
      <c r="C23" t="s">
        <v>113</v>
      </c>
    </row>
    <row r="24" spans="3:3" x14ac:dyDescent="0.3">
      <c r="C24" t="s">
        <v>121</v>
      </c>
    </row>
    <row r="25" spans="3:3" x14ac:dyDescent="0.3">
      <c r="C25" t="s">
        <v>116</v>
      </c>
    </row>
    <row r="26" spans="3:3" x14ac:dyDescent="0.3">
      <c r="C26" t="s">
        <v>124</v>
      </c>
    </row>
  </sheetData>
  <sheetProtection algorithmName="SHA-512" hashValue="Fx568TP8sswjMvjTKJ9dkuEAPmriONA+S07TLeerMO9/k2F31IrRWzKt0kGArp3cwepWme9B4dwjJEbBEMe4Uw==" saltValue="9qSFuWua+aNdvtqCZv7xnw==" spinCount="100000" sheet="1" selectLockedCells="1"/>
  <mergeCells count="6">
    <mergeCell ref="C14:E14"/>
    <mergeCell ref="C15:E15"/>
    <mergeCell ref="C6:E6"/>
    <mergeCell ref="C8:E8"/>
    <mergeCell ref="C9:E9"/>
    <mergeCell ref="C10:E10"/>
  </mergeCells>
  <dataValidations count="1">
    <dataValidation type="list" allowBlank="1" showInputMessage="1" showErrorMessage="1" sqref="F8:F16">
      <formula1>$G$8:$G$10</formula1>
    </dataValidation>
  </dataValidations>
  <hyperlinks>
    <hyperlink ref="A3"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48547"/>
  <sheetViews>
    <sheetView showGridLines="0" zoomScaleNormal="100" workbookViewId="0">
      <pane ySplit="2" topLeftCell="A3" activePane="bottomLeft" state="frozen"/>
      <selection pane="bottomLeft" activeCell="C4" sqref="C4"/>
    </sheetView>
  </sheetViews>
  <sheetFormatPr defaultRowHeight="13.8" x14ac:dyDescent="0.25"/>
  <cols>
    <col min="1" max="1" width="14.21875" style="4" customWidth="1"/>
    <col min="2" max="2" width="21.77734375" style="1" customWidth="1"/>
    <col min="3" max="4" width="11.77734375" style="38" customWidth="1"/>
    <col min="5" max="5" width="9.33203125" style="22" customWidth="1"/>
    <col min="6" max="6" width="53.88671875" style="1" customWidth="1"/>
    <col min="7" max="7" width="20.6640625" style="20" customWidth="1"/>
    <col min="8" max="8" width="11.109375" style="208" customWidth="1"/>
    <col min="9" max="16384" width="8.88671875" style="1"/>
  </cols>
  <sheetData>
    <row r="1" spans="1:8" ht="21.6" x14ac:dyDescent="0.55000000000000004">
      <c r="A1" s="150" t="str">
        <f>IF(Information!C6=0,"",Information!C6)</f>
        <v/>
      </c>
    </row>
    <row r="2" spans="1:8" s="119" customFormat="1" ht="26.4" x14ac:dyDescent="0.25">
      <c r="A2" s="40" t="s">
        <v>0</v>
      </c>
      <c r="B2" s="41" t="s">
        <v>1</v>
      </c>
      <c r="C2" s="42" t="s">
        <v>6</v>
      </c>
      <c r="D2" s="42" t="s">
        <v>7</v>
      </c>
      <c r="E2" s="66" t="s">
        <v>8</v>
      </c>
      <c r="F2" s="41" t="s">
        <v>81</v>
      </c>
      <c r="G2" s="144"/>
      <c r="H2" s="209"/>
    </row>
    <row r="3" spans="1:8" s="121" customFormat="1" x14ac:dyDescent="0.25">
      <c r="A3" s="13"/>
      <c r="B3" s="14"/>
      <c r="C3" s="39"/>
      <c r="D3" s="39"/>
      <c r="E3" s="36" t="str">
        <f>IF(SUM(C3:D3)=0," ",SUM(C3:D3))</f>
        <v xml:space="preserve"> </v>
      </c>
      <c r="F3" s="14"/>
      <c r="G3" s="120" t="e">
        <f>VLOOKUP($B3,Information!$C$8:$F$15,4,FALSE)</f>
        <v>#N/A</v>
      </c>
      <c r="H3" s="210" t="str">
        <f>TEXT(A3,"ddd")</f>
        <v>Sat</v>
      </c>
    </row>
    <row r="4" spans="1:8" x14ac:dyDescent="0.25">
      <c r="A4" s="13"/>
      <c r="B4" s="14"/>
      <c r="C4" s="39"/>
      <c r="D4" s="39"/>
      <c r="E4" s="36" t="str">
        <f>IF(SUM(C4:D4)=0," ",SUM(C4:D4))</f>
        <v xml:space="preserve"> </v>
      </c>
      <c r="F4" s="14"/>
      <c r="G4" s="120" t="e">
        <f>VLOOKUP($B4,Information!$C$8:$F$15,4,FALSE)</f>
        <v>#N/A</v>
      </c>
      <c r="H4" s="210" t="str">
        <f>TEXT(A4,"ddd")</f>
        <v>Sat</v>
      </c>
    </row>
    <row r="5" spans="1:8" s="3" customFormat="1" ht="14.4" x14ac:dyDescent="0.3">
      <c r="A5" s="13"/>
      <c r="B5" s="14"/>
      <c r="C5" s="39"/>
      <c r="D5" s="39"/>
      <c r="E5" s="36" t="str">
        <f>IF(SUM(C5:D5)=0," ",SUM(C5:D5))</f>
        <v xml:space="preserve"> </v>
      </c>
      <c r="F5" s="14"/>
      <c r="G5" s="120" t="e">
        <f>VLOOKUP($B5,Information!$C$8:$F$15,4,FALSE)</f>
        <v>#N/A</v>
      </c>
      <c r="H5" s="210" t="str">
        <f>TEXT(A5,"ddd")</f>
        <v>Sat</v>
      </c>
    </row>
    <row r="6" spans="1:8" s="3" customFormat="1" ht="14.4" x14ac:dyDescent="0.3">
      <c r="A6" s="15"/>
      <c r="B6" s="14"/>
      <c r="C6" s="37"/>
      <c r="D6" s="37"/>
      <c r="E6" s="36" t="str">
        <f>IF(SUM(C6:D6)=0," ",SUM(C6:D6))</f>
        <v xml:space="preserve"> </v>
      </c>
      <c r="F6" s="17"/>
      <c r="G6" s="120" t="e">
        <f>VLOOKUP($B6,Information!$C$8:$F$15,4,FALSE)</f>
        <v>#N/A</v>
      </c>
      <c r="H6" s="210" t="str">
        <f>TEXT(A6,"ddd")</f>
        <v>Sat</v>
      </c>
    </row>
    <row r="7" spans="1:8" ht="14.4" customHeight="1" x14ac:dyDescent="0.25">
      <c r="A7" s="13"/>
      <c r="B7" s="14"/>
      <c r="C7" s="39"/>
      <c r="D7" s="39"/>
      <c r="E7" s="36" t="str">
        <f>IF(SUM(C7:D7)=0," ",SUM(C7:D7))</f>
        <v xml:space="preserve"> </v>
      </c>
      <c r="F7" s="14"/>
      <c r="G7" s="120" t="e">
        <f>VLOOKUP($B7,Information!$C$8:$F$15,4,FALSE)</f>
        <v>#N/A</v>
      </c>
      <c r="H7" s="210" t="str">
        <f>TEXT(A7,"ddd")</f>
        <v>Sat</v>
      </c>
    </row>
    <row r="8" spans="1:8" s="3" customFormat="1" ht="14.4" x14ac:dyDescent="0.3">
      <c r="A8" s="13"/>
      <c r="B8" s="14"/>
      <c r="C8" s="39"/>
      <c r="D8" s="39"/>
      <c r="E8" s="36" t="str">
        <f>IF(SUM(C8:D8)=0," ",SUM(C8:D8))</f>
        <v xml:space="preserve"> </v>
      </c>
      <c r="F8" s="14"/>
      <c r="G8" s="120" t="e">
        <f>VLOOKUP($B8,Information!$C$8:$F$15,4,FALSE)</f>
        <v>#N/A</v>
      </c>
      <c r="H8" s="210" t="str">
        <f>TEXT(A8,"ddd")</f>
        <v>Sat</v>
      </c>
    </row>
    <row r="9" spans="1:8" s="3" customFormat="1" ht="14.4" x14ac:dyDescent="0.3">
      <c r="A9" s="13"/>
      <c r="B9" s="14"/>
      <c r="C9" s="39"/>
      <c r="D9" s="39"/>
      <c r="E9" s="36" t="str">
        <f>IF(SUM(C9:D9)=0," ",SUM(C9:D9))</f>
        <v xml:space="preserve"> </v>
      </c>
      <c r="F9" s="14"/>
      <c r="G9" s="120" t="e">
        <f>VLOOKUP($B9,Information!$C$8:$F$15,4,FALSE)</f>
        <v>#N/A</v>
      </c>
      <c r="H9" s="210" t="str">
        <f>TEXT(A9,"ddd")</f>
        <v>Sat</v>
      </c>
    </row>
    <row r="10" spans="1:8" s="3" customFormat="1" ht="14.4" x14ac:dyDescent="0.3">
      <c r="A10" s="13"/>
      <c r="B10" s="14"/>
      <c r="C10" s="39"/>
      <c r="D10" s="39"/>
      <c r="E10" s="36" t="str">
        <f>IF(SUM(C10:D10)=0," ",SUM(C10:D10))</f>
        <v xml:space="preserve"> </v>
      </c>
      <c r="F10" s="14"/>
      <c r="G10" s="120" t="e">
        <f>VLOOKUP($B10,Information!$C$8:$F$15,4,FALSE)</f>
        <v>#N/A</v>
      </c>
      <c r="H10" s="210" t="str">
        <f>TEXT(A10,"ddd")</f>
        <v>Sat</v>
      </c>
    </row>
    <row r="11" spans="1:8" s="3" customFormat="1" ht="14.4" x14ac:dyDescent="0.3">
      <c r="A11" s="13"/>
      <c r="B11" s="14"/>
      <c r="C11" s="39"/>
      <c r="D11" s="39"/>
      <c r="E11" s="36" t="str">
        <f>IF(SUM(C11:D11)=0," ",SUM(C11:D11))</f>
        <v xml:space="preserve"> </v>
      </c>
      <c r="F11" s="14"/>
      <c r="G11" s="120" t="e">
        <f>VLOOKUP($B11,Information!$C$8:$F$15,4,FALSE)</f>
        <v>#N/A</v>
      </c>
      <c r="H11" s="210" t="str">
        <f>TEXT(A11,"ddd")</f>
        <v>Sat</v>
      </c>
    </row>
    <row r="12" spans="1:8" s="3" customFormat="1" ht="14.4" x14ac:dyDescent="0.3">
      <c r="A12" s="13"/>
      <c r="B12" s="14"/>
      <c r="C12" s="39"/>
      <c r="D12" s="39"/>
      <c r="E12" s="36" t="str">
        <f>IF(SUM(C12:D12)=0," ",SUM(C12:D12))</f>
        <v xml:space="preserve"> </v>
      </c>
      <c r="F12" s="14"/>
      <c r="G12" s="120" t="e">
        <f>VLOOKUP($B12,Information!$C$8:$F$15,4,FALSE)</f>
        <v>#N/A</v>
      </c>
      <c r="H12" s="210" t="str">
        <f>TEXT(A12,"ddd")</f>
        <v>Sat</v>
      </c>
    </row>
    <row r="13" spans="1:8" s="3" customFormat="1" ht="14.4" x14ac:dyDescent="0.3">
      <c r="A13" s="13"/>
      <c r="B13" s="14"/>
      <c r="C13" s="39"/>
      <c r="D13" s="39"/>
      <c r="E13" s="36" t="str">
        <f>IF(SUM(C13:D13)=0," ",SUM(C13:D13))</f>
        <v xml:space="preserve"> </v>
      </c>
      <c r="F13" s="14"/>
      <c r="G13" s="120" t="e">
        <f>VLOOKUP($B13,Information!$C$8:$F$15,4,FALSE)</f>
        <v>#N/A</v>
      </c>
      <c r="H13" s="210" t="str">
        <f>TEXT(A13,"ddd")</f>
        <v>Sat</v>
      </c>
    </row>
    <row r="14" spans="1:8" s="3" customFormat="1" ht="14.4" x14ac:dyDescent="0.3">
      <c r="A14" s="13"/>
      <c r="B14" s="14"/>
      <c r="C14" s="39"/>
      <c r="D14" s="39"/>
      <c r="E14" s="36" t="str">
        <f>IF(SUM(C14:D14)=0," ",SUM(C14:D14))</f>
        <v xml:space="preserve"> </v>
      </c>
      <c r="F14" s="14"/>
      <c r="G14" s="120" t="e">
        <f>VLOOKUP($B14,Information!$C$8:$F$15,4,FALSE)</f>
        <v>#N/A</v>
      </c>
      <c r="H14" s="210" t="str">
        <f>TEXT(A14,"ddd")</f>
        <v>Sat</v>
      </c>
    </row>
    <row r="15" spans="1:8" s="3" customFormat="1" ht="14.4" x14ac:dyDescent="0.3">
      <c r="A15" s="13"/>
      <c r="B15" s="14"/>
      <c r="C15" s="39"/>
      <c r="D15" s="39"/>
      <c r="E15" s="36" t="str">
        <f>IF(SUM(C15:D15)=0," ",SUM(C15:D15))</f>
        <v xml:space="preserve"> </v>
      </c>
      <c r="F15" s="14"/>
      <c r="G15" s="120" t="e">
        <f>VLOOKUP($B15,Information!$C$8:$F$15,4,FALSE)</f>
        <v>#N/A</v>
      </c>
      <c r="H15" s="210" t="str">
        <f>TEXT(A15,"ddd")</f>
        <v>Sat</v>
      </c>
    </row>
    <row r="16" spans="1:8" s="3" customFormat="1" ht="14.4" x14ac:dyDescent="0.3">
      <c r="A16" s="13"/>
      <c r="B16" s="14"/>
      <c r="C16" s="39"/>
      <c r="D16" s="39"/>
      <c r="E16" s="36" t="str">
        <f>IF(SUM(C16:D16)=0," ",SUM(C16:D16))</f>
        <v xml:space="preserve"> </v>
      </c>
      <c r="F16" s="14"/>
      <c r="G16" s="120" t="e">
        <f>VLOOKUP($B16,Information!$C$8:$F$15,4,FALSE)</f>
        <v>#N/A</v>
      </c>
      <c r="H16" s="210" t="str">
        <f>TEXT(A16,"ddd")</f>
        <v>Sat</v>
      </c>
    </row>
    <row r="17" spans="1:8" s="3" customFormat="1" ht="14.4" x14ac:dyDescent="0.3">
      <c r="A17" s="13"/>
      <c r="B17" s="14"/>
      <c r="C17" s="39"/>
      <c r="D17" s="39"/>
      <c r="E17" s="36" t="str">
        <f>IF(SUM(C17:D17)=0," ",SUM(C17:D17))</f>
        <v xml:space="preserve"> </v>
      </c>
      <c r="F17" s="14"/>
      <c r="G17" s="120" t="e">
        <f>VLOOKUP($B17,Information!$C$8:$F$15,4,FALSE)</f>
        <v>#N/A</v>
      </c>
      <c r="H17" s="210" t="str">
        <f>TEXT(A17,"ddd")</f>
        <v>Sat</v>
      </c>
    </row>
    <row r="18" spans="1:8" s="3" customFormat="1" ht="14.4" x14ac:dyDescent="0.3">
      <c r="A18" s="13"/>
      <c r="B18" s="14"/>
      <c r="C18" s="39"/>
      <c r="D18" s="39"/>
      <c r="E18" s="36" t="str">
        <f>IF(SUM(C18:D18)=0," ",SUM(C18:D18))</f>
        <v xml:space="preserve"> </v>
      </c>
      <c r="F18" s="14"/>
      <c r="G18" s="120" t="e">
        <f>VLOOKUP($B18,Information!$C$8:$F$15,4,FALSE)</f>
        <v>#N/A</v>
      </c>
      <c r="H18" s="210" t="str">
        <f>TEXT(A18,"ddd")</f>
        <v>Sat</v>
      </c>
    </row>
    <row r="19" spans="1:8" s="3" customFormat="1" ht="14.4" x14ac:dyDescent="0.3">
      <c r="A19" s="13"/>
      <c r="B19" s="14"/>
      <c r="C19" s="39"/>
      <c r="D19" s="39"/>
      <c r="E19" s="36" t="str">
        <f>IF(SUM(C19:D19)=0," ",SUM(C19:D19))</f>
        <v xml:space="preserve"> </v>
      </c>
      <c r="F19" s="14"/>
      <c r="G19" s="120" t="e">
        <f>VLOOKUP($B19,Information!$C$8:$F$15,4,FALSE)</f>
        <v>#N/A</v>
      </c>
      <c r="H19" s="210" t="str">
        <f>TEXT(A19,"ddd")</f>
        <v>Sat</v>
      </c>
    </row>
    <row r="20" spans="1:8" s="3" customFormat="1" ht="14.4" x14ac:dyDescent="0.3">
      <c r="A20" s="13"/>
      <c r="B20" s="14"/>
      <c r="C20" s="39"/>
      <c r="D20" s="39"/>
      <c r="E20" s="36" t="str">
        <f>IF(SUM(C20:D20)=0," ",SUM(C20:D20))</f>
        <v xml:space="preserve"> </v>
      </c>
      <c r="F20" s="14"/>
      <c r="G20" s="120" t="e">
        <f>VLOOKUP($B20,Information!$C$8:$F$15,4,FALSE)</f>
        <v>#N/A</v>
      </c>
      <c r="H20" s="210" t="str">
        <f>TEXT(A20,"ddd")</f>
        <v>Sat</v>
      </c>
    </row>
    <row r="21" spans="1:8" s="3" customFormat="1" ht="14.4" x14ac:dyDescent="0.3">
      <c r="A21" s="13"/>
      <c r="B21" s="14"/>
      <c r="C21" s="39"/>
      <c r="D21" s="39"/>
      <c r="E21" s="36" t="str">
        <f>IF(SUM(C21:D21)=0," ",SUM(C21:D21))</f>
        <v xml:space="preserve"> </v>
      </c>
      <c r="F21" s="14"/>
      <c r="G21" s="120" t="e">
        <f>VLOOKUP($B21,Information!$C$8:$F$15,4,FALSE)</f>
        <v>#N/A</v>
      </c>
      <c r="H21" s="210" t="str">
        <f>TEXT(A21,"ddd")</f>
        <v>Sat</v>
      </c>
    </row>
    <row r="22" spans="1:8" s="3" customFormat="1" ht="14.4" x14ac:dyDescent="0.3">
      <c r="A22" s="15"/>
      <c r="B22" s="14"/>
      <c r="C22" s="37"/>
      <c r="D22" s="37"/>
      <c r="E22" s="36" t="str">
        <f>IF(SUM(C22:D22)=0," ",SUM(C22:D22))</f>
        <v xml:space="preserve"> </v>
      </c>
      <c r="F22" s="18"/>
      <c r="G22" s="120" t="e">
        <f>VLOOKUP($B22,Information!$C$8:$F$15,4,FALSE)</f>
        <v>#N/A</v>
      </c>
      <c r="H22" s="210" t="str">
        <f>TEXT(A22,"ddd")</f>
        <v>Sat</v>
      </c>
    </row>
    <row r="23" spans="1:8" s="3" customFormat="1" ht="14.4" x14ac:dyDescent="0.3">
      <c r="A23" s="13"/>
      <c r="B23" s="14"/>
      <c r="C23" s="39"/>
      <c r="D23" s="39"/>
      <c r="E23" s="36" t="str">
        <f>IF(SUM(C23:D23)=0," ",SUM(C23:D23))</f>
        <v xml:space="preserve"> </v>
      </c>
      <c r="F23" s="14"/>
      <c r="G23" s="120" t="e">
        <f>VLOOKUP($B23,Information!$C$8:$F$15,4,FALSE)</f>
        <v>#N/A</v>
      </c>
      <c r="H23" s="210" t="str">
        <f>TEXT(A23,"ddd")</f>
        <v>Sat</v>
      </c>
    </row>
    <row r="24" spans="1:8" s="3" customFormat="1" ht="14.4" x14ac:dyDescent="0.3">
      <c r="A24" s="15"/>
      <c r="B24" s="14"/>
      <c r="C24" s="37"/>
      <c r="D24" s="37"/>
      <c r="E24" s="36" t="str">
        <f>IF(SUM(C24:D24)=0," ",SUM(C24:D24))</f>
        <v xml:space="preserve"> </v>
      </c>
      <c r="F24" s="18"/>
      <c r="G24" s="120" t="e">
        <f>VLOOKUP($B24,Information!$C$8:$F$15,4,FALSE)</f>
        <v>#N/A</v>
      </c>
      <c r="H24" s="210" t="str">
        <f>TEXT(A24,"ddd")</f>
        <v>Sat</v>
      </c>
    </row>
    <row r="25" spans="1:8" s="3" customFormat="1" ht="14.4" x14ac:dyDescent="0.3">
      <c r="A25" s="13"/>
      <c r="B25" s="14"/>
      <c r="C25" s="39"/>
      <c r="D25" s="39"/>
      <c r="E25" s="36" t="str">
        <f>IF(SUM(C25:D25)=0," ",SUM(C25:D25))</f>
        <v xml:space="preserve"> </v>
      </c>
      <c r="F25" s="14"/>
      <c r="G25" s="120" t="e">
        <f>VLOOKUP($B25,Information!$C$8:$F$15,4,FALSE)</f>
        <v>#N/A</v>
      </c>
      <c r="H25" s="210" t="str">
        <f>TEXT(A25,"ddd")</f>
        <v>Sat</v>
      </c>
    </row>
    <row r="26" spans="1:8" s="3" customFormat="1" ht="14.4" x14ac:dyDescent="0.3">
      <c r="A26" s="15"/>
      <c r="B26" s="14"/>
      <c r="C26" s="37"/>
      <c r="D26" s="37"/>
      <c r="E26" s="36" t="str">
        <f>IF(SUM(C26:D26)=0," ",SUM(C26:D26))</f>
        <v xml:space="preserve"> </v>
      </c>
      <c r="F26" s="18"/>
      <c r="G26" s="120" t="e">
        <f>VLOOKUP($B26,Information!$C$8:$F$15,4,FALSE)</f>
        <v>#N/A</v>
      </c>
      <c r="H26" s="210" t="str">
        <f>TEXT(A26,"ddd")</f>
        <v>Sat</v>
      </c>
    </row>
    <row r="27" spans="1:8" s="3" customFormat="1" ht="14.4" x14ac:dyDescent="0.3">
      <c r="A27" s="13"/>
      <c r="B27" s="14"/>
      <c r="C27" s="39"/>
      <c r="D27" s="39"/>
      <c r="E27" s="36" t="str">
        <f>IF(SUM(C27:D27)=0," ",SUM(C27:D27))</f>
        <v xml:space="preserve"> </v>
      </c>
      <c r="F27" s="14"/>
      <c r="G27" s="120" t="e">
        <f>VLOOKUP($B27,Information!$C$8:$F$15,4,FALSE)</f>
        <v>#N/A</v>
      </c>
      <c r="H27" s="210" t="str">
        <f>TEXT(A27,"ddd")</f>
        <v>Sat</v>
      </c>
    </row>
    <row r="28" spans="1:8" s="3" customFormat="1" ht="14.4" x14ac:dyDescent="0.3">
      <c r="A28" s="13"/>
      <c r="B28" s="14"/>
      <c r="C28" s="39"/>
      <c r="D28" s="39"/>
      <c r="E28" s="36" t="str">
        <f>IF(SUM(C28:D28)=0," ",SUM(C28:D28))</f>
        <v xml:space="preserve"> </v>
      </c>
      <c r="F28" s="14"/>
      <c r="G28" s="120" t="e">
        <f>VLOOKUP($B28,Information!$C$8:$F$15,4,FALSE)</f>
        <v>#N/A</v>
      </c>
      <c r="H28" s="210" t="str">
        <f>TEXT(A28,"ddd")</f>
        <v>Sat</v>
      </c>
    </row>
    <row r="29" spans="1:8" s="3" customFormat="1" ht="14.4" x14ac:dyDescent="0.3">
      <c r="A29" s="13"/>
      <c r="B29" s="14"/>
      <c r="C29" s="39"/>
      <c r="D29" s="39"/>
      <c r="E29" s="36" t="str">
        <f>IF(SUM(C29:D29)=0," ",SUM(C29:D29))</f>
        <v xml:space="preserve"> </v>
      </c>
      <c r="F29" s="14"/>
      <c r="G29" s="120" t="e">
        <f>VLOOKUP($B29,Information!$C$8:$F$15,4,FALSE)</f>
        <v>#N/A</v>
      </c>
      <c r="H29" s="210" t="str">
        <f>TEXT(A29,"ddd")</f>
        <v>Sat</v>
      </c>
    </row>
    <row r="30" spans="1:8" s="3" customFormat="1" ht="14.4" x14ac:dyDescent="0.3">
      <c r="A30" s="15"/>
      <c r="B30" s="14"/>
      <c r="C30" s="37"/>
      <c r="D30" s="37"/>
      <c r="E30" s="36" t="str">
        <f>IF(SUM(C30:D30)=0," ",SUM(C30:D30))</f>
        <v xml:space="preserve"> </v>
      </c>
      <c r="F30" s="17"/>
      <c r="G30" s="120" t="e">
        <f>VLOOKUP($B30,Information!$C$8:$F$15,4,FALSE)</f>
        <v>#N/A</v>
      </c>
      <c r="H30" s="210" t="str">
        <f>TEXT(A30,"ddd")</f>
        <v>Sat</v>
      </c>
    </row>
    <row r="31" spans="1:8" s="3" customFormat="1" ht="14.4" x14ac:dyDescent="0.3">
      <c r="A31" s="13"/>
      <c r="B31" s="14"/>
      <c r="C31" s="39"/>
      <c r="D31" s="39"/>
      <c r="E31" s="36" t="str">
        <f>IF(SUM(C31:D31)=0," ",SUM(C31:D31))</f>
        <v xml:space="preserve"> </v>
      </c>
      <c r="F31" s="14"/>
      <c r="G31" s="120" t="e">
        <f>VLOOKUP($B31,Information!$C$8:$F$15,4,FALSE)</f>
        <v>#N/A</v>
      </c>
      <c r="H31" s="210" t="str">
        <f>TEXT(A31,"ddd")</f>
        <v>Sat</v>
      </c>
    </row>
    <row r="32" spans="1:8" s="3" customFormat="1" ht="14.4" x14ac:dyDescent="0.3">
      <c r="A32" s="13"/>
      <c r="B32" s="14"/>
      <c r="C32" s="39"/>
      <c r="D32" s="39"/>
      <c r="E32" s="36" t="str">
        <f>IF(SUM(C32:D32)=0," ",SUM(C32:D32))</f>
        <v xml:space="preserve"> </v>
      </c>
      <c r="F32" s="14"/>
      <c r="G32" s="120" t="e">
        <f>VLOOKUP($B32,Information!$C$8:$F$15,4,FALSE)</f>
        <v>#N/A</v>
      </c>
      <c r="H32" s="210" t="str">
        <f>TEXT(A32,"ddd")</f>
        <v>Sat</v>
      </c>
    </row>
    <row r="33" spans="1:8" s="3" customFormat="1" ht="14.4" x14ac:dyDescent="0.3">
      <c r="A33" s="15"/>
      <c r="B33" s="14"/>
      <c r="C33" s="37"/>
      <c r="D33" s="37"/>
      <c r="E33" s="36" t="str">
        <f>IF(SUM(C33:D33)=0," ",SUM(C33:D33))</f>
        <v xml:space="preserve"> </v>
      </c>
      <c r="F33" s="17"/>
      <c r="G33" s="120" t="e">
        <f>VLOOKUP($B33,Information!$C$8:$F$15,4,FALSE)</f>
        <v>#N/A</v>
      </c>
      <c r="H33" s="210" t="str">
        <f>TEXT(A33,"ddd")</f>
        <v>Sat</v>
      </c>
    </row>
    <row r="34" spans="1:8" s="3" customFormat="1" ht="14.4" x14ac:dyDescent="0.3">
      <c r="A34" s="15"/>
      <c r="B34" s="14"/>
      <c r="C34" s="37"/>
      <c r="D34" s="37"/>
      <c r="E34" s="36" t="str">
        <f>IF(SUM(C34:D34)=0," ",SUM(C34:D34))</f>
        <v xml:space="preserve"> </v>
      </c>
      <c r="F34" s="18"/>
      <c r="G34" s="120" t="e">
        <f>VLOOKUP($B34,Information!$C$8:$F$15,4,FALSE)</f>
        <v>#N/A</v>
      </c>
      <c r="H34" s="210" t="str">
        <f>TEXT(A34,"ddd")</f>
        <v>Sat</v>
      </c>
    </row>
    <row r="35" spans="1:8" s="3" customFormat="1" ht="14.4" x14ac:dyDescent="0.3">
      <c r="A35" s="15"/>
      <c r="B35" s="14"/>
      <c r="C35" s="37"/>
      <c r="D35" s="37"/>
      <c r="E35" s="36" t="str">
        <f>IF(SUM(C35:D35)=0," ",SUM(C35:D35))</f>
        <v xml:space="preserve"> </v>
      </c>
      <c r="F35" s="18"/>
      <c r="G35" s="120" t="e">
        <f>VLOOKUP($B35,Information!$C$8:$F$15,4,FALSE)</f>
        <v>#N/A</v>
      </c>
      <c r="H35" s="210" t="str">
        <f>TEXT(A35,"ddd")</f>
        <v>Sat</v>
      </c>
    </row>
    <row r="36" spans="1:8" s="3" customFormat="1" ht="14.4" x14ac:dyDescent="0.3">
      <c r="A36" s="13"/>
      <c r="B36" s="14"/>
      <c r="C36" s="39"/>
      <c r="D36" s="39"/>
      <c r="E36" s="36" t="str">
        <f>IF(SUM(C36:D36)=0," ",SUM(C36:D36))</f>
        <v xml:space="preserve"> </v>
      </c>
      <c r="F36" s="14"/>
      <c r="G36" s="120" t="e">
        <f>VLOOKUP($B36,Information!$C$8:$F$15,4,FALSE)</f>
        <v>#N/A</v>
      </c>
      <c r="H36" s="210" t="str">
        <f>TEXT(A36,"ddd")</f>
        <v>Sat</v>
      </c>
    </row>
    <row r="37" spans="1:8" s="3" customFormat="1" ht="14.4" x14ac:dyDescent="0.3">
      <c r="A37" s="13"/>
      <c r="B37" s="14"/>
      <c r="C37" s="39"/>
      <c r="D37" s="39"/>
      <c r="E37" s="36" t="str">
        <f>IF(SUM(C37:D37)=0," ",SUM(C37:D37))</f>
        <v xml:space="preserve"> </v>
      </c>
      <c r="F37" s="14"/>
      <c r="G37" s="120" t="e">
        <f>VLOOKUP($B37,Information!$C$8:$F$15,4,FALSE)</f>
        <v>#N/A</v>
      </c>
      <c r="H37" s="210" t="str">
        <f>TEXT(A37,"ddd")</f>
        <v>Sat</v>
      </c>
    </row>
    <row r="38" spans="1:8" s="3" customFormat="1" ht="14.4" x14ac:dyDescent="0.3">
      <c r="A38" s="13"/>
      <c r="B38" s="14"/>
      <c r="C38" s="39"/>
      <c r="D38" s="39"/>
      <c r="E38" s="36" t="str">
        <f>IF(SUM(C38:D38)=0," ",SUM(C38:D38))</f>
        <v xml:space="preserve"> </v>
      </c>
      <c r="F38" s="14"/>
      <c r="G38" s="120" t="e">
        <f>VLOOKUP($B38,Information!$C$8:$F$15,4,FALSE)</f>
        <v>#N/A</v>
      </c>
      <c r="H38" s="210" t="str">
        <f>TEXT(A38,"ddd")</f>
        <v>Sat</v>
      </c>
    </row>
    <row r="39" spans="1:8" s="3" customFormat="1" ht="14.4" x14ac:dyDescent="0.3">
      <c r="A39" s="15"/>
      <c r="B39" s="14"/>
      <c r="C39" s="37"/>
      <c r="D39" s="37"/>
      <c r="E39" s="36" t="str">
        <f>IF(SUM(C39:D39)=0," ",SUM(C39:D39))</f>
        <v xml:space="preserve"> </v>
      </c>
      <c r="F39" s="18"/>
      <c r="G39" s="120" t="e">
        <f>VLOOKUP($B39,Information!$C$8:$F$15,4,FALSE)</f>
        <v>#N/A</v>
      </c>
      <c r="H39" s="210" t="str">
        <f>TEXT(A39,"ddd")</f>
        <v>Sat</v>
      </c>
    </row>
    <row r="40" spans="1:8" ht="14.4" customHeight="1" x14ac:dyDescent="0.25">
      <c r="A40" s="15"/>
      <c r="B40" s="14"/>
      <c r="C40" s="37"/>
      <c r="D40" s="37"/>
      <c r="E40" s="36" t="str">
        <f>IF(SUM(C40:D40)=0," ",SUM(C40:D40))</f>
        <v xml:space="preserve"> </v>
      </c>
      <c r="F40" s="17"/>
      <c r="G40" s="120" t="e">
        <f>VLOOKUP($B40,Information!$C$8:$F$15,4,FALSE)</f>
        <v>#N/A</v>
      </c>
      <c r="H40" s="210" t="str">
        <f>TEXT(A40,"ddd")</f>
        <v>Sat</v>
      </c>
    </row>
    <row r="41" spans="1:8" ht="14.4" customHeight="1" x14ac:dyDescent="0.25">
      <c r="A41" s="13"/>
      <c r="B41" s="14"/>
      <c r="C41" s="39"/>
      <c r="D41" s="39"/>
      <c r="E41" s="36" t="str">
        <f>IF(SUM(C41:D41)=0," ",SUM(C41:D41))</f>
        <v xml:space="preserve"> </v>
      </c>
      <c r="F41" s="14"/>
      <c r="G41" s="120" t="e">
        <f>VLOOKUP($B41,Information!$C$8:$F$15,4,FALSE)</f>
        <v>#N/A</v>
      </c>
      <c r="H41" s="210" t="str">
        <f>TEXT(A41,"ddd")</f>
        <v>Sat</v>
      </c>
    </row>
    <row r="42" spans="1:8" ht="14.4" customHeight="1" x14ac:dyDescent="0.25">
      <c r="A42" s="13"/>
      <c r="B42" s="14"/>
      <c r="C42" s="39"/>
      <c r="D42" s="39"/>
      <c r="E42" s="36" t="str">
        <f>IF(SUM(C42:D42)=0," ",SUM(C42:D42))</f>
        <v xml:space="preserve"> </v>
      </c>
      <c r="F42" s="14"/>
      <c r="G42" s="120" t="e">
        <f>VLOOKUP($B42,Information!$C$8:$F$15,4,FALSE)</f>
        <v>#N/A</v>
      </c>
      <c r="H42" s="210" t="str">
        <f>TEXT(A42,"ddd")</f>
        <v>Sat</v>
      </c>
    </row>
    <row r="43" spans="1:8" ht="14.4" customHeight="1" x14ac:dyDescent="0.25">
      <c r="A43" s="13"/>
      <c r="B43" s="14"/>
      <c r="C43" s="39"/>
      <c r="D43" s="39"/>
      <c r="E43" s="36" t="str">
        <f>IF(SUM(C43:D43)=0," ",SUM(C43:D43))</f>
        <v xml:space="preserve"> </v>
      </c>
      <c r="F43" s="14"/>
      <c r="G43" s="120" t="e">
        <f>VLOOKUP($B43,Information!$C$8:$F$15,4,FALSE)</f>
        <v>#N/A</v>
      </c>
      <c r="H43" s="210" t="str">
        <f>TEXT(A43,"ddd")</f>
        <v>Sat</v>
      </c>
    </row>
    <row r="44" spans="1:8" ht="14.4" customHeight="1" x14ac:dyDescent="0.25">
      <c r="A44" s="13"/>
      <c r="B44" s="14"/>
      <c r="C44" s="39"/>
      <c r="D44" s="39"/>
      <c r="E44" s="36" t="str">
        <f>IF(SUM(C44:D44)=0," ",SUM(C44:D44))</f>
        <v xml:space="preserve"> </v>
      </c>
      <c r="F44" s="14"/>
      <c r="G44" s="120" t="e">
        <f>VLOOKUP($B44,Information!$C$8:$F$15,4,FALSE)</f>
        <v>#N/A</v>
      </c>
      <c r="H44" s="210" t="str">
        <f>TEXT(A44,"ddd")</f>
        <v>Sat</v>
      </c>
    </row>
    <row r="45" spans="1:8" ht="14.4" customHeight="1" x14ac:dyDescent="0.3">
      <c r="A45" s="15"/>
      <c r="B45" s="14"/>
      <c r="C45" s="37"/>
      <c r="D45" s="37"/>
      <c r="E45" s="36" t="str">
        <f>IF(SUM(C45:D45)=0," ",SUM(C45:D45))</f>
        <v xml:space="preserve"> </v>
      </c>
      <c r="F45" s="18"/>
      <c r="G45" s="120" t="e">
        <f>VLOOKUP($B45,Information!$C$8:$F$15,4,FALSE)</f>
        <v>#N/A</v>
      </c>
      <c r="H45" s="210" t="str">
        <f>TEXT(A45,"ddd")</f>
        <v>Sat</v>
      </c>
    </row>
    <row r="46" spans="1:8" ht="13.8" customHeight="1" x14ac:dyDescent="0.25">
      <c r="A46" s="13"/>
      <c r="B46" s="14"/>
      <c r="C46" s="39"/>
      <c r="D46" s="39"/>
      <c r="E46" s="36" t="str">
        <f>IF(SUM(C46:D46)=0," ",SUM(C46:D46))</f>
        <v xml:space="preserve"> </v>
      </c>
      <c r="F46" s="14"/>
      <c r="G46" s="120" t="e">
        <f>VLOOKUP($B46,Information!$C$8:$F$15,4,FALSE)</f>
        <v>#N/A</v>
      </c>
      <c r="H46" s="210" t="str">
        <f>TEXT(A46,"ddd")</f>
        <v>Sat</v>
      </c>
    </row>
    <row r="47" spans="1:8" ht="13.8" customHeight="1" x14ac:dyDescent="0.3">
      <c r="A47" s="15"/>
      <c r="B47" s="14"/>
      <c r="C47" s="37"/>
      <c r="D47" s="37"/>
      <c r="E47" s="36" t="str">
        <f>IF(SUM(C47:D47)=0," ",SUM(C47:D47))</f>
        <v xml:space="preserve"> </v>
      </c>
      <c r="F47" s="18"/>
      <c r="G47" s="120" t="e">
        <f>VLOOKUP($B47,Information!$C$8:$F$15,4,FALSE)</f>
        <v>#N/A</v>
      </c>
      <c r="H47" s="210" t="str">
        <f>TEXT(A47,"ddd")</f>
        <v>Sat</v>
      </c>
    </row>
    <row r="48" spans="1:8" ht="14.4" customHeight="1" x14ac:dyDescent="0.25">
      <c r="A48" s="13"/>
      <c r="B48" s="14"/>
      <c r="C48" s="39"/>
      <c r="D48" s="39"/>
      <c r="E48" s="36" t="str">
        <f>IF(SUM(C48:D48)=0," ",SUM(C48:D48))</f>
        <v xml:space="preserve"> </v>
      </c>
      <c r="F48" s="14"/>
      <c r="G48" s="120" t="e">
        <f>VLOOKUP($B48,Information!$C$8:$F$15,4,FALSE)</f>
        <v>#N/A</v>
      </c>
      <c r="H48" s="210" t="str">
        <f>TEXT(A48,"ddd")</f>
        <v>Sat</v>
      </c>
    </row>
    <row r="49" spans="1:8" ht="14.4" customHeight="1" x14ac:dyDescent="0.3">
      <c r="A49" s="15"/>
      <c r="B49" s="14"/>
      <c r="C49" s="37"/>
      <c r="D49" s="37"/>
      <c r="E49" s="36" t="str">
        <f>IF(SUM(C49:D49)=0," ",SUM(C49:D49))</f>
        <v xml:space="preserve"> </v>
      </c>
      <c r="F49" s="18"/>
      <c r="G49" s="120" t="e">
        <f>VLOOKUP($B49,Information!$C$8:$F$15,4,FALSE)</f>
        <v>#N/A</v>
      </c>
      <c r="H49" s="210" t="str">
        <f>TEXT(A49,"ddd")</f>
        <v>Sat</v>
      </c>
    </row>
    <row r="50" spans="1:8" ht="14.4" customHeight="1" x14ac:dyDescent="0.25">
      <c r="A50" s="13"/>
      <c r="B50" s="14"/>
      <c r="C50" s="39"/>
      <c r="D50" s="39"/>
      <c r="E50" s="36" t="str">
        <f>IF(SUM(C50:D50)=0," ",SUM(C50:D50))</f>
        <v xml:space="preserve"> </v>
      </c>
      <c r="F50" s="14"/>
      <c r="G50" s="120" t="e">
        <f>VLOOKUP($B50,Information!$C$8:$F$15,4,FALSE)</f>
        <v>#N/A</v>
      </c>
      <c r="H50" s="210" t="str">
        <f>TEXT(A50,"ddd")</f>
        <v>Sat</v>
      </c>
    </row>
    <row r="51" spans="1:8" ht="14.4" customHeight="1" x14ac:dyDescent="0.25">
      <c r="A51" s="15"/>
      <c r="B51" s="14"/>
      <c r="C51" s="37"/>
      <c r="D51" s="37"/>
      <c r="E51" s="36" t="str">
        <f>IF(SUM(C51:D51)=0," ",SUM(C51:D51))</f>
        <v xml:space="preserve"> </v>
      </c>
      <c r="F51" s="17"/>
      <c r="G51" s="120" t="e">
        <f>VLOOKUP($B51,Information!$C$8:$F$15,4,FALSE)</f>
        <v>#N/A</v>
      </c>
      <c r="H51" s="210" t="str">
        <f>TEXT(A51,"ddd")</f>
        <v>Sat</v>
      </c>
    </row>
    <row r="52" spans="1:8" ht="14.4" customHeight="1" x14ac:dyDescent="0.25">
      <c r="A52" s="15"/>
      <c r="B52" s="14"/>
      <c r="C52" s="37"/>
      <c r="D52" s="37"/>
      <c r="E52" s="36" t="str">
        <f>IF(SUM(C52:D52)=0," ",SUM(C52:D52))</f>
        <v xml:space="preserve"> </v>
      </c>
      <c r="F52" s="17"/>
      <c r="G52" s="120" t="e">
        <f>VLOOKUP($B52,Information!$C$8:$F$15,4,FALSE)</f>
        <v>#N/A</v>
      </c>
      <c r="H52" s="210" t="str">
        <f>TEXT(A52,"ddd")</f>
        <v>Sat</v>
      </c>
    </row>
    <row r="53" spans="1:8" ht="14.4" customHeight="1" x14ac:dyDescent="0.25">
      <c r="A53" s="13"/>
      <c r="B53" s="14"/>
      <c r="C53" s="39"/>
      <c r="D53" s="39"/>
      <c r="E53" s="36" t="str">
        <f>IF(SUM(C53:D53)=0," ",SUM(C53:D53))</f>
        <v xml:space="preserve"> </v>
      </c>
      <c r="F53" s="14"/>
      <c r="G53" s="120" t="e">
        <f>VLOOKUP($B53,Information!$C$8:$F$15,4,FALSE)</f>
        <v>#N/A</v>
      </c>
      <c r="H53" s="210" t="str">
        <f>TEXT(A53,"ddd")</f>
        <v>Sat</v>
      </c>
    </row>
    <row r="54" spans="1:8" ht="14.4" customHeight="1" x14ac:dyDescent="0.25">
      <c r="A54" s="13"/>
      <c r="B54" s="14"/>
      <c r="C54" s="39"/>
      <c r="D54" s="39"/>
      <c r="E54" s="36" t="str">
        <f>IF(SUM(C54:D54)=0," ",SUM(C54:D54))</f>
        <v xml:space="preserve"> </v>
      </c>
      <c r="F54" s="14"/>
      <c r="G54" s="120" t="e">
        <f>VLOOKUP($B54,Information!$C$8:$F$15,4,FALSE)</f>
        <v>#N/A</v>
      </c>
      <c r="H54" s="210" t="str">
        <f>TEXT(A54,"ddd")</f>
        <v>Sat</v>
      </c>
    </row>
    <row r="55" spans="1:8" ht="14.4" customHeight="1" x14ac:dyDescent="0.3">
      <c r="A55" s="15"/>
      <c r="B55" s="14"/>
      <c r="C55" s="37"/>
      <c r="D55" s="37"/>
      <c r="E55" s="36" t="str">
        <f>IF(SUM(C55:D55)=0," ",SUM(C55:D55))</f>
        <v xml:space="preserve"> </v>
      </c>
      <c r="F55" s="18"/>
      <c r="G55" s="120" t="e">
        <f>VLOOKUP($B55,Information!$C$8:$F$15,4,FALSE)</f>
        <v>#N/A</v>
      </c>
      <c r="H55" s="210" t="str">
        <f>TEXT(A55,"ddd")</f>
        <v>Sat</v>
      </c>
    </row>
    <row r="56" spans="1:8" ht="13.8" customHeight="1" x14ac:dyDescent="0.3">
      <c r="A56" s="15"/>
      <c r="B56" s="14"/>
      <c r="C56" s="37"/>
      <c r="D56" s="37"/>
      <c r="E56" s="36" t="str">
        <f>IF(SUM(C56:D56)=0," ",SUM(C56:D56))</f>
        <v xml:space="preserve"> </v>
      </c>
      <c r="F56" s="18"/>
      <c r="G56" s="120" t="e">
        <f>VLOOKUP($B56,Information!$C$8:$F$15,4,FALSE)</f>
        <v>#N/A</v>
      </c>
      <c r="H56" s="210" t="str">
        <f>TEXT(A56,"ddd")</f>
        <v>Sat</v>
      </c>
    </row>
    <row r="57" spans="1:8" x14ac:dyDescent="0.25">
      <c r="A57" s="13"/>
      <c r="B57" s="14"/>
      <c r="C57" s="39"/>
      <c r="D57" s="39"/>
      <c r="E57" s="36" t="str">
        <f>IF(SUM(C57:D57)=0," ",SUM(C57:D57))</f>
        <v xml:space="preserve"> </v>
      </c>
      <c r="F57" s="14"/>
      <c r="G57" s="120" t="e">
        <f>VLOOKUP($B57,Information!$C$8:$F$15,4,FALSE)</f>
        <v>#N/A</v>
      </c>
      <c r="H57" s="210" t="str">
        <f>TEXT(A57,"ddd")</f>
        <v>Sat</v>
      </c>
    </row>
    <row r="58" spans="1:8" ht="13.8" customHeight="1" x14ac:dyDescent="0.25">
      <c r="A58" s="13"/>
      <c r="B58" s="14"/>
      <c r="C58" s="39"/>
      <c r="D58" s="39"/>
      <c r="E58" s="36" t="str">
        <f>IF(SUM(C58:D58)=0," ",SUM(C58:D58))</f>
        <v xml:space="preserve"> </v>
      </c>
      <c r="F58" s="14"/>
      <c r="G58" s="120" t="e">
        <f>VLOOKUP($B58,Information!$C$8:$F$15,4,FALSE)</f>
        <v>#N/A</v>
      </c>
      <c r="H58" s="210" t="str">
        <f>TEXT(A58,"ddd")</f>
        <v>Sat</v>
      </c>
    </row>
    <row r="59" spans="1:8" ht="14.4" customHeight="1" x14ac:dyDescent="0.3">
      <c r="A59" s="15"/>
      <c r="B59" s="14"/>
      <c r="C59" s="37"/>
      <c r="D59" s="37"/>
      <c r="E59" s="36" t="str">
        <f>IF(SUM(C59:D59)=0," ",SUM(C59:D59))</f>
        <v xml:space="preserve"> </v>
      </c>
      <c r="F59" s="18"/>
      <c r="G59" s="120" t="e">
        <f>VLOOKUP($B59,Information!$C$8:$F$15,4,FALSE)</f>
        <v>#N/A</v>
      </c>
      <c r="H59" s="210" t="str">
        <f>TEXT(A59,"ddd")</f>
        <v>Sat</v>
      </c>
    </row>
    <row r="60" spans="1:8" x14ac:dyDescent="0.25">
      <c r="A60" s="13"/>
      <c r="B60" s="14"/>
      <c r="C60" s="39"/>
      <c r="D60" s="39"/>
      <c r="E60" s="36" t="str">
        <f>IF(SUM(C60:D60)=0," ",SUM(C60:D60))</f>
        <v xml:space="preserve"> </v>
      </c>
      <c r="F60" s="14"/>
      <c r="G60" s="120" t="e">
        <f>VLOOKUP($B60,Information!$C$8:$F$15,4,FALSE)</f>
        <v>#N/A</v>
      </c>
      <c r="H60" s="210" t="str">
        <f>TEXT(A60,"ddd")</f>
        <v>Sat</v>
      </c>
    </row>
    <row r="61" spans="1:8" ht="13.8" customHeight="1" x14ac:dyDescent="0.25">
      <c r="A61" s="15"/>
      <c r="B61" s="14"/>
      <c r="C61" s="37"/>
      <c r="D61" s="37"/>
      <c r="E61" s="36" t="str">
        <f>IF(SUM(C61:D61)=0," ",SUM(C61:D61))</f>
        <v xml:space="preserve"> </v>
      </c>
      <c r="F61" s="17"/>
      <c r="G61" s="120" t="e">
        <f>VLOOKUP($B61,Information!$C$8:$F$15,4,FALSE)</f>
        <v>#N/A</v>
      </c>
      <c r="H61" s="210" t="str">
        <f>TEXT(A61,"ddd")</f>
        <v>Sat</v>
      </c>
    </row>
    <row r="62" spans="1:8" ht="14.4" customHeight="1" x14ac:dyDescent="0.25">
      <c r="A62" s="13"/>
      <c r="B62" s="14"/>
      <c r="C62" s="39"/>
      <c r="D62" s="39"/>
      <c r="E62" s="36" t="str">
        <f>IF(SUM(C62:D62)=0," ",SUM(C62:D62))</f>
        <v xml:space="preserve"> </v>
      </c>
      <c r="F62" s="14"/>
      <c r="G62" s="120" t="e">
        <f>VLOOKUP($B62,Information!$C$8:$F$15,4,FALSE)</f>
        <v>#N/A</v>
      </c>
      <c r="H62" s="210" t="str">
        <f>TEXT(A62,"ddd")</f>
        <v>Sat</v>
      </c>
    </row>
    <row r="63" spans="1:8" ht="14.4" customHeight="1" x14ac:dyDescent="0.25">
      <c r="A63" s="13"/>
      <c r="B63" s="14"/>
      <c r="C63" s="39"/>
      <c r="D63" s="39"/>
      <c r="E63" s="36" t="str">
        <f>IF(SUM(C63:D63)=0," ",SUM(C63:D63))</f>
        <v xml:space="preserve"> </v>
      </c>
      <c r="F63" s="14"/>
      <c r="G63" s="120" t="e">
        <f>VLOOKUP($B63,Information!$C$8:$F$15,4,FALSE)</f>
        <v>#N/A</v>
      </c>
      <c r="H63" s="210" t="str">
        <f>TEXT(A63,"ddd")</f>
        <v>Sat</v>
      </c>
    </row>
    <row r="64" spans="1:8" s="2" customFormat="1" ht="14.4" customHeight="1" x14ac:dyDescent="0.25">
      <c r="A64" s="13"/>
      <c r="B64" s="14"/>
      <c r="C64" s="39"/>
      <c r="D64" s="39"/>
      <c r="E64" s="36" t="str">
        <f>IF(SUM(C64:D64)=0," ",SUM(C64:D64))</f>
        <v xml:space="preserve"> </v>
      </c>
      <c r="F64" s="14"/>
      <c r="G64" s="120" t="e">
        <f>VLOOKUP($B64,Information!$C$8:$F$15,4,FALSE)</f>
        <v>#N/A</v>
      </c>
      <c r="H64" s="210" t="str">
        <f>TEXT(A64,"ddd")</f>
        <v>Sat</v>
      </c>
    </row>
    <row r="65" spans="1:8" s="2" customFormat="1" ht="14.4" customHeight="1" x14ac:dyDescent="0.25">
      <c r="A65" s="13"/>
      <c r="B65" s="14"/>
      <c r="C65" s="39"/>
      <c r="D65" s="39"/>
      <c r="E65" s="36" t="str">
        <f>IF(SUM(C65:D65)=0," ",SUM(C65:D65))</f>
        <v xml:space="preserve"> </v>
      </c>
      <c r="F65" s="14"/>
      <c r="G65" s="120" t="e">
        <f>VLOOKUP($B65,Information!$C$8:$F$15,4,FALSE)</f>
        <v>#N/A</v>
      </c>
      <c r="H65" s="210" t="str">
        <f>TEXT(A65,"ddd")</f>
        <v>Sat</v>
      </c>
    </row>
    <row r="66" spans="1:8" s="2" customFormat="1" x14ac:dyDescent="0.25">
      <c r="A66" s="13"/>
      <c r="B66" s="14"/>
      <c r="C66" s="39"/>
      <c r="D66" s="39"/>
      <c r="E66" s="36" t="str">
        <f>IF(SUM(C66:D66)=0," ",SUM(C66:D66))</f>
        <v xml:space="preserve"> </v>
      </c>
      <c r="F66" s="14"/>
      <c r="G66" s="120" t="e">
        <f>VLOOKUP($B66,Information!$C$8:$F$15,4,FALSE)</f>
        <v>#N/A</v>
      </c>
      <c r="H66" s="210" t="str">
        <f>TEXT(A66,"ddd")</f>
        <v>Sat</v>
      </c>
    </row>
    <row r="67" spans="1:8" ht="14.4" customHeight="1" x14ac:dyDescent="0.25">
      <c r="A67" s="13"/>
      <c r="B67" s="14"/>
      <c r="C67" s="39"/>
      <c r="D67" s="39"/>
      <c r="E67" s="36" t="str">
        <f>IF(SUM(C67:D67)=0," ",SUM(C67:D67))</f>
        <v xml:space="preserve"> </v>
      </c>
      <c r="F67" s="14"/>
      <c r="G67" s="120" t="e">
        <f>VLOOKUP($B67,Information!$C$8:$F$15,4,FALSE)</f>
        <v>#N/A</v>
      </c>
      <c r="H67" s="210" t="str">
        <f>TEXT(A67,"ddd")</f>
        <v>Sat</v>
      </c>
    </row>
    <row r="68" spans="1:8" ht="14.4" customHeight="1" x14ac:dyDescent="0.25">
      <c r="A68" s="13"/>
      <c r="B68" s="14"/>
      <c r="C68" s="39"/>
      <c r="D68" s="39"/>
      <c r="E68" s="36" t="str">
        <f>IF(SUM(C68:D68)=0," ",SUM(C68:D68))</f>
        <v xml:space="preserve"> </v>
      </c>
      <c r="F68" s="14"/>
      <c r="G68" s="120" t="e">
        <f>VLOOKUP($B68,Information!$C$8:$F$15,4,FALSE)</f>
        <v>#N/A</v>
      </c>
      <c r="H68" s="210" t="str">
        <f>TEXT(A68,"ddd")</f>
        <v>Sat</v>
      </c>
    </row>
    <row r="69" spans="1:8" ht="14.4" customHeight="1" x14ac:dyDescent="0.3">
      <c r="A69" s="15"/>
      <c r="B69" s="14"/>
      <c r="C69" s="37"/>
      <c r="D69" s="37"/>
      <c r="E69" s="36" t="str">
        <f>IF(SUM(C69:D69)=0," ",SUM(C69:D69))</f>
        <v xml:space="preserve"> </v>
      </c>
      <c r="F69" s="18"/>
      <c r="G69" s="120" t="e">
        <f>VLOOKUP($B69,Information!$C$8:$F$15,4,FALSE)</f>
        <v>#N/A</v>
      </c>
      <c r="H69" s="210" t="str">
        <f>TEXT(A69,"ddd")</f>
        <v>Sat</v>
      </c>
    </row>
    <row r="70" spans="1:8" ht="14.4" customHeight="1" x14ac:dyDescent="0.25">
      <c r="A70" s="13"/>
      <c r="B70" s="14"/>
      <c r="C70" s="39"/>
      <c r="D70" s="39"/>
      <c r="E70" s="36" t="str">
        <f>IF(SUM(C70:D70)=0," ",SUM(C70:D70))</f>
        <v xml:space="preserve"> </v>
      </c>
      <c r="F70" s="14"/>
      <c r="G70" s="120" t="e">
        <f>VLOOKUP($B70,Information!$C$8:$F$15,4,FALSE)</f>
        <v>#N/A</v>
      </c>
      <c r="H70" s="210" t="str">
        <f>TEXT(A70,"ddd")</f>
        <v>Sat</v>
      </c>
    </row>
    <row r="71" spans="1:8" ht="14.4" customHeight="1" x14ac:dyDescent="0.25">
      <c r="A71" s="13"/>
      <c r="B71" s="14"/>
      <c r="C71" s="39"/>
      <c r="D71" s="39"/>
      <c r="E71" s="36" t="str">
        <f>IF(SUM(C71:D71)=0," ",SUM(C71:D71))</f>
        <v xml:space="preserve"> </v>
      </c>
      <c r="F71" s="14"/>
      <c r="G71" s="120" t="e">
        <f>VLOOKUP($B71,Information!$C$8:$F$15,4,FALSE)</f>
        <v>#N/A</v>
      </c>
      <c r="H71" s="210" t="str">
        <f>TEXT(A71,"ddd")</f>
        <v>Sat</v>
      </c>
    </row>
    <row r="72" spans="1:8" ht="14.4" customHeight="1" x14ac:dyDescent="0.25">
      <c r="A72" s="15"/>
      <c r="B72" s="14"/>
      <c r="C72" s="37"/>
      <c r="D72" s="37"/>
      <c r="E72" s="36" t="str">
        <f>IF(SUM(C72:D72)=0," ",SUM(C72:D72))</f>
        <v xml:space="preserve"> </v>
      </c>
      <c r="F72" s="17"/>
      <c r="G72" s="120" t="e">
        <f>VLOOKUP($B72,Information!$C$8:$F$15,4,FALSE)</f>
        <v>#N/A</v>
      </c>
      <c r="H72" s="210" t="str">
        <f>TEXT(A72,"ddd")</f>
        <v>Sat</v>
      </c>
    </row>
    <row r="73" spans="1:8" ht="13.8" customHeight="1" x14ac:dyDescent="0.25">
      <c r="A73" s="15"/>
      <c r="B73" s="14"/>
      <c r="C73" s="37"/>
      <c r="D73" s="37"/>
      <c r="E73" s="36" t="str">
        <f>IF(SUM(C73:D73)=0," ",SUM(C73:D73))</f>
        <v xml:space="preserve"> </v>
      </c>
      <c r="F73" s="17"/>
      <c r="G73" s="120" t="e">
        <f>VLOOKUP($B73,Information!$C$8:$F$15,4,FALSE)</f>
        <v>#N/A</v>
      </c>
      <c r="H73" s="210" t="str">
        <f>TEXT(A73,"ddd")</f>
        <v>Sat</v>
      </c>
    </row>
    <row r="74" spans="1:8" ht="14.4" customHeight="1" x14ac:dyDescent="0.25">
      <c r="A74" s="13"/>
      <c r="B74" s="14"/>
      <c r="C74" s="39"/>
      <c r="D74" s="39"/>
      <c r="E74" s="36" t="str">
        <f>IF(SUM(C74:D74)=0," ",SUM(C74:D74))</f>
        <v xml:space="preserve"> </v>
      </c>
      <c r="F74" s="14"/>
      <c r="G74" s="120" t="e">
        <f>VLOOKUP($B74,Information!$C$8:$F$15,4,FALSE)</f>
        <v>#N/A</v>
      </c>
      <c r="H74" s="210" t="str">
        <f>TEXT(A74,"ddd")</f>
        <v>Sat</v>
      </c>
    </row>
    <row r="75" spans="1:8" ht="13.8" customHeight="1" x14ac:dyDescent="0.3">
      <c r="A75" s="15"/>
      <c r="B75" s="14"/>
      <c r="C75" s="37"/>
      <c r="D75" s="37"/>
      <c r="E75" s="36" t="str">
        <f>IF(SUM(C75:D75)=0," ",SUM(C75:D75))</f>
        <v xml:space="preserve"> </v>
      </c>
      <c r="F75" s="18"/>
      <c r="G75" s="120" t="e">
        <f>VLOOKUP($B75,Information!$C$8:$F$15,4,FALSE)</f>
        <v>#N/A</v>
      </c>
      <c r="H75" s="210" t="str">
        <f>TEXT(A75,"ddd")</f>
        <v>Sat</v>
      </c>
    </row>
    <row r="76" spans="1:8" x14ac:dyDescent="0.25">
      <c r="A76" s="13"/>
      <c r="B76" s="14"/>
      <c r="C76" s="39"/>
      <c r="D76" s="39"/>
      <c r="E76" s="36" t="str">
        <f>IF(SUM(C76:D76)=0," ",SUM(C76:D76))</f>
        <v xml:space="preserve"> </v>
      </c>
      <c r="F76" s="14"/>
      <c r="G76" s="120" t="e">
        <f>VLOOKUP($B76,Information!$C$8:$F$15,4,FALSE)</f>
        <v>#N/A</v>
      </c>
      <c r="H76" s="210" t="str">
        <f>TEXT(A76,"ddd")</f>
        <v>Sat</v>
      </c>
    </row>
    <row r="77" spans="1:8" ht="14.4" customHeight="1" x14ac:dyDescent="0.25">
      <c r="A77" s="15"/>
      <c r="B77" s="14"/>
      <c r="C77" s="37"/>
      <c r="D77" s="37"/>
      <c r="E77" s="36" t="str">
        <f>IF(SUM(C77:D77)=0," ",SUM(C77:D77))</f>
        <v xml:space="preserve"> </v>
      </c>
      <c r="F77" s="17"/>
      <c r="G77" s="120" t="e">
        <f>VLOOKUP($B77,Information!$C$8:$F$15,4,FALSE)</f>
        <v>#N/A</v>
      </c>
      <c r="H77" s="210" t="str">
        <f>TEXT(A77,"ddd")</f>
        <v>Sat</v>
      </c>
    </row>
    <row r="78" spans="1:8" ht="13.8" customHeight="1" x14ac:dyDescent="0.3">
      <c r="A78" s="15"/>
      <c r="B78" s="14"/>
      <c r="C78" s="37"/>
      <c r="D78" s="37"/>
      <c r="E78" s="36" t="str">
        <f>IF(SUM(C78:D78)=0," ",SUM(C78:D78))</f>
        <v xml:space="preserve"> </v>
      </c>
      <c r="F78" s="18"/>
      <c r="G78" s="120" t="e">
        <f>VLOOKUP($B78,Information!$C$8:$F$15,4,FALSE)</f>
        <v>#N/A</v>
      </c>
      <c r="H78" s="210" t="str">
        <f>TEXT(A78,"ddd")</f>
        <v>Sat</v>
      </c>
    </row>
    <row r="79" spans="1:8" x14ac:dyDescent="0.25">
      <c r="A79" s="13"/>
      <c r="B79" s="14"/>
      <c r="C79" s="39"/>
      <c r="D79" s="39"/>
      <c r="E79" s="36" t="str">
        <f>IF(SUM(C79:D79)=0," ",SUM(C79:D79))</f>
        <v xml:space="preserve"> </v>
      </c>
      <c r="F79" s="14"/>
      <c r="G79" s="120" t="e">
        <f>VLOOKUP($B79,Information!$C$8:$F$15,4,FALSE)</f>
        <v>#N/A</v>
      </c>
      <c r="H79" s="210" t="str">
        <f>TEXT(A79,"ddd")</f>
        <v>Sat</v>
      </c>
    </row>
    <row r="80" spans="1:8" x14ac:dyDescent="0.25">
      <c r="A80" s="15"/>
      <c r="B80" s="14"/>
      <c r="C80" s="37"/>
      <c r="D80" s="37"/>
      <c r="E80" s="36" t="str">
        <f>IF(SUM(C80:D80)=0," ",SUM(C80:D80))</f>
        <v xml:space="preserve"> </v>
      </c>
      <c r="F80" s="17"/>
      <c r="G80" s="120" t="e">
        <f>VLOOKUP($B80,Information!$C$8:$F$15,4,FALSE)</f>
        <v>#N/A</v>
      </c>
      <c r="H80" s="210" t="str">
        <f>TEXT(A80,"ddd")</f>
        <v>Sat</v>
      </c>
    </row>
    <row r="81" spans="1:8" ht="13.8" customHeight="1" x14ac:dyDescent="0.3">
      <c r="A81" s="15"/>
      <c r="B81" s="14"/>
      <c r="C81" s="37"/>
      <c r="D81" s="37"/>
      <c r="E81" s="36" t="str">
        <f>IF(SUM(C81:D81)=0," ",SUM(C81:D81))</f>
        <v xml:space="preserve"> </v>
      </c>
      <c r="F81" s="18"/>
      <c r="G81" s="120" t="e">
        <f>VLOOKUP($B81,Information!$C$8:$F$15,4,FALSE)</f>
        <v>#N/A</v>
      </c>
      <c r="H81" s="210" t="str">
        <f>TEXT(A81,"ddd")</f>
        <v>Sat</v>
      </c>
    </row>
    <row r="82" spans="1:8" ht="14.4" customHeight="1" x14ac:dyDescent="0.25">
      <c r="A82" s="13"/>
      <c r="B82" s="14"/>
      <c r="C82" s="39"/>
      <c r="D82" s="39"/>
      <c r="E82" s="36" t="str">
        <f>IF(SUM(C82:D82)=0," ",SUM(C82:D82))</f>
        <v xml:space="preserve"> </v>
      </c>
      <c r="F82" s="14"/>
      <c r="G82" s="120" t="e">
        <f>VLOOKUP($B82,Information!$C$8:$F$15,4,FALSE)</f>
        <v>#N/A</v>
      </c>
      <c r="H82" s="210" t="str">
        <f>TEXT(A82,"ddd")</f>
        <v>Sat</v>
      </c>
    </row>
    <row r="83" spans="1:8" ht="14.4" customHeight="1" x14ac:dyDescent="0.25">
      <c r="A83" s="13"/>
      <c r="B83" s="14"/>
      <c r="C83" s="39"/>
      <c r="D83" s="39"/>
      <c r="E83" s="36" t="str">
        <f>IF(SUM(C83:D83)=0," ",SUM(C83:D83))</f>
        <v xml:space="preserve"> </v>
      </c>
      <c r="F83" s="14"/>
      <c r="G83" s="120" t="e">
        <f>VLOOKUP($B83,Information!$C$8:$F$15,4,FALSE)</f>
        <v>#N/A</v>
      </c>
      <c r="H83" s="210" t="str">
        <f>TEXT(A83,"ddd")</f>
        <v>Sat</v>
      </c>
    </row>
    <row r="84" spans="1:8" ht="14.4" customHeight="1" x14ac:dyDescent="0.25">
      <c r="A84" s="15"/>
      <c r="B84" s="14"/>
      <c r="C84" s="37"/>
      <c r="D84" s="37"/>
      <c r="E84" s="36" t="str">
        <f>IF(SUM(C84:D84)=0," ",SUM(C84:D84))</f>
        <v xml:space="preserve"> </v>
      </c>
      <c r="F84" s="17"/>
      <c r="G84" s="120" t="e">
        <f>VLOOKUP($B84,Information!$C$8:$F$15,4,FALSE)</f>
        <v>#N/A</v>
      </c>
      <c r="H84" s="210" t="str">
        <f>TEXT(A84,"ddd")</f>
        <v>Sat</v>
      </c>
    </row>
    <row r="85" spans="1:8" ht="14.4" customHeight="1" x14ac:dyDescent="0.25">
      <c r="A85" s="13"/>
      <c r="B85" s="14"/>
      <c r="C85" s="39"/>
      <c r="D85" s="39"/>
      <c r="E85" s="36" t="str">
        <f>IF(SUM(C85:D85)=0," ",SUM(C85:D85))</f>
        <v xml:space="preserve"> </v>
      </c>
      <c r="F85" s="14"/>
      <c r="G85" s="120" t="e">
        <f>VLOOKUP($B85,Information!$C$8:$F$15,4,FALSE)</f>
        <v>#N/A</v>
      </c>
      <c r="H85" s="210" t="str">
        <f>TEXT(A85,"ddd")</f>
        <v>Sat</v>
      </c>
    </row>
    <row r="86" spans="1:8" ht="14.4" customHeight="1" x14ac:dyDescent="0.25">
      <c r="A86" s="13"/>
      <c r="B86" s="14"/>
      <c r="C86" s="39"/>
      <c r="D86" s="39"/>
      <c r="E86" s="36" t="str">
        <f>IF(SUM(C86:D86)=0," ",SUM(C86:D86))</f>
        <v xml:space="preserve"> </v>
      </c>
      <c r="F86" s="14"/>
      <c r="G86" s="120" t="e">
        <f>VLOOKUP($B86,Information!$C$8:$F$15,4,FALSE)</f>
        <v>#N/A</v>
      </c>
      <c r="H86" s="210" t="str">
        <f>TEXT(A86,"ddd")</f>
        <v>Sat</v>
      </c>
    </row>
    <row r="87" spans="1:8" ht="14.4" x14ac:dyDescent="0.3">
      <c r="A87" s="13"/>
      <c r="B87" s="14"/>
      <c r="C87" s="39"/>
      <c r="D87" s="39"/>
      <c r="E87" s="36" t="str">
        <f>IF(SUM(C87:D87)=0," ",SUM(C87:D87))</f>
        <v xml:space="preserve"> </v>
      </c>
      <c r="F87" s="18"/>
      <c r="G87" s="120" t="e">
        <f>VLOOKUP($B87,Information!$C$8:$F$15,4,FALSE)</f>
        <v>#N/A</v>
      </c>
      <c r="H87" s="210" t="str">
        <f>TEXT(A87,"ddd")</f>
        <v>Sat</v>
      </c>
    </row>
    <row r="88" spans="1:8" ht="14.4" customHeight="1" x14ac:dyDescent="0.3">
      <c r="A88" s="13"/>
      <c r="B88" s="14"/>
      <c r="C88" s="39"/>
      <c r="D88" s="39"/>
      <c r="E88" s="36" t="str">
        <f>IF(SUM(C88:D88)=0," ",SUM(C88:D88))</f>
        <v xml:space="preserve"> </v>
      </c>
      <c r="F88" s="18"/>
      <c r="G88" s="120" t="e">
        <f>VLOOKUP($B88,Information!$C$8:$F$15,4,FALSE)</f>
        <v>#N/A</v>
      </c>
      <c r="H88" s="210" t="str">
        <f>TEXT(A88,"ddd")</f>
        <v>Sat</v>
      </c>
    </row>
    <row r="89" spans="1:8" ht="14.4" customHeight="1" x14ac:dyDescent="0.3">
      <c r="A89" s="13"/>
      <c r="B89" s="14"/>
      <c r="C89" s="39"/>
      <c r="D89" s="39"/>
      <c r="E89" s="36" t="str">
        <f>IF(SUM(C89:D89)=0," ",SUM(C89:D89))</f>
        <v xml:space="preserve"> </v>
      </c>
      <c r="F89" s="18"/>
      <c r="G89" s="120" t="e">
        <f>VLOOKUP($B89,Information!$C$8:$F$15,4,FALSE)</f>
        <v>#N/A</v>
      </c>
      <c r="H89" s="210" t="str">
        <f>TEXT(A89,"ddd")</f>
        <v>Sat</v>
      </c>
    </row>
    <row r="90" spans="1:8" ht="14.4" customHeight="1" x14ac:dyDescent="0.3">
      <c r="A90" s="13"/>
      <c r="B90" s="14"/>
      <c r="C90" s="39"/>
      <c r="D90" s="39"/>
      <c r="E90" s="36" t="str">
        <f>IF(SUM(C90:D90)=0," ",SUM(C90:D90))</f>
        <v xml:space="preserve"> </v>
      </c>
      <c r="F90" s="18"/>
      <c r="G90" s="120" t="e">
        <f>VLOOKUP($B90,Information!$C$8:$F$15,4,FALSE)</f>
        <v>#N/A</v>
      </c>
      <c r="H90" s="210" t="str">
        <f>TEXT(A90,"ddd")</f>
        <v>Sat</v>
      </c>
    </row>
    <row r="91" spans="1:8" ht="13.8" customHeight="1" x14ac:dyDescent="0.25">
      <c r="A91" s="13"/>
      <c r="B91" s="14"/>
      <c r="C91" s="39"/>
      <c r="D91" s="39"/>
      <c r="E91" s="36" t="str">
        <f>IF(SUM(C91:D91)=0," ",SUM(C91:D91))</f>
        <v xml:space="preserve"> </v>
      </c>
      <c r="F91" s="14"/>
      <c r="G91" s="120" t="e">
        <f>VLOOKUP($B91,Information!$C$8:$F$15,4,FALSE)</f>
        <v>#N/A</v>
      </c>
      <c r="H91" s="210" t="str">
        <f>TEXT(A91,"ddd")</f>
        <v>Sat</v>
      </c>
    </row>
    <row r="92" spans="1:8" ht="14.4" customHeight="1" x14ac:dyDescent="0.3">
      <c r="A92" s="15"/>
      <c r="B92" s="14"/>
      <c r="C92" s="37"/>
      <c r="D92" s="37"/>
      <c r="E92" s="36" t="str">
        <f>IF(SUM(C92:D92)=0," ",SUM(C92:D92))</f>
        <v xml:space="preserve"> </v>
      </c>
      <c r="F92" s="18"/>
      <c r="G92" s="120" t="e">
        <f>VLOOKUP($B92,Information!$C$8:$F$15,4,FALSE)</f>
        <v>#N/A</v>
      </c>
      <c r="H92" s="210" t="str">
        <f>TEXT(A92,"ddd")</f>
        <v>Sat</v>
      </c>
    </row>
    <row r="93" spans="1:8" ht="14.4" customHeight="1" x14ac:dyDescent="0.25">
      <c r="A93" s="15"/>
      <c r="B93" s="14"/>
      <c r="C93" s="37"/>
      <c r="D93" s="37"/>
      <c r="E93" s="36" t="str">
        <f>IF(SUM(C93:D93)=0," ",SUM(C93:D93))</f>
        <v xml:space="preserve"> </v>
      </c>
      <c r="F93" s="17"/>
      <c r="G93" s="120" t="e">
        <f>VLOOKUP($B93,Information!$C$8:$F$15,4,FALSE)</f>
        <v>#N/A</v>
      </c>
      <c r="H93" s="210" t="str">
        <f>TEXT(A93,"ddd")</f>
        <v>Sat</v>
      </c>
    </row>
    <row r="94" spans="1:8" ht="14.4" customHeight="1" x14ac:dyDescent="0.25">
      <c r="A94" s="13"/>
      <c r="B94" s="14"/>
      <c r="C94" s="39"/>
      <c r="D94" s="39"/>
      <c r="E94" s="36" t="str">
        <f>IF(SUM(C94:D94)=0," ",SUM(C94:D94))</f>
        <v xml:space="preserve"> </v>
      </c>
      <c r="F94" s="14"/>
      <c r="G94" s="120" t="e">
        <f>VLOOKUP($B94,Information!$C$8:$F$15,4,FALSE)</f>
        <v>#N/A</v>
      </c>
      <c r="H94" s="210" t="str">
        <f>TEXT(A94,"ddd")</f>
        <v>Sat</v>
      </c>
    </row>
    <row r="95" spans="1:8" ht="14.4" customHeight="1" x14ac:dyDescent="0.25">
      <c r="A95" s="15"/>
      <c r="B95" s="14"/>
      <c r="C95" s="37"/>
      <c r="D95" s="37"/>
      <c r="E95" s="36" t="str">
        <f>IF(SUM(C95:D95)=0," ",SUM(C95:D95))</f>
        <v xml:space="preserve"> </v>
      </c>
      <c r="F95" s="17"/>
      <c r="G95" s="120" t="e">
        <f>VLOOKUP($B95,Information!$C$8:$F$15,4,FALSE)</f>
        <v>#N/A</v>
      </c>
      <c r="H95" s="210" t="str">
        <f>TEXT(A95,"ddd")</f>
        <v>Sat</v>
      </c>
    </row>
    <row r="96" spans="1:8" ht="14.4" customHeight="1" x14ac:dyDescent="0.25">
      <c r="A96" s="13"/>
      <c r="B96" s="14"/>
      <c r="C96" s="39"/>
      <c r="D96" s="39"/>
      <c r="E96" s="36" t="str">
        <f>IF(SUM(C96:D96)=0," ",SUM(C96:D96))</f>
        <v xml:space="preserve"> </v>
      </c>
      <c r="F96" s="14"/>
      <c r="G96" s="120" t="e">
        <f>VLOOKUP($B96,Information!$C$8:$F$15,4,FALSE)</f>
        <v>#N/A</v>
      </c>
      <c r="H96" s="210" t="str">
        <f>TEXT(A96,"ddd")</f>
        <v>Sat</v>
      </c>
    </row>
    <row r="97" spans="1:8" x14ac:dyDescent="0.25">
      <c r="A97" s="15"/>
      <c r="B97" s="14"/>
      <c r="C97" s="37"/>
      <c r="D97" s="37"/>
      <c r="E97" s="36" t="str">
        <f>IF(SUM(C97:D97)=0," ",SUM(C97:D97))</f>
        <v xml:space="preserve"> </v>
      </c>
      <c r="F97" s="17"/>
      <c r="G97" s="120" t="e">
        <f>VLOOKUP($B97,Information!$C$8:$F$15,4,FALSE)</f>
        <v>#N/A</v>
      </c>
      <c r="H97" s="210" t="str">
        <f>TEXT(A97,"ddd")</f>
        <v>Sat</v>
      </c>
    </row>
    <row r="98" spans="1:8" x14ac:dyDescent="0.25">
      <c r="A98" s="13"/>
      <c r="B98" s="14"/>
      <c r="C98" s="39"/>
      <c r="D98" s="39"/>
      <c r="E98" s="36" t="str">
        <f>IF(SUM(C98:D98)=0," ",SUM(C98:D98))</f>
        <v xml:space="preserve"> </v>
      </c>
      <c r="F98" s="14"/>
      <c r="G98" s="120" t="e">
        <f>VLOOKUP($B98,Information!$C$8:$F$15,4,FALSE)</f>
        <v>#N/A</v>
      </c>
      <c r="H98" s="210" t="str">
        <f>TEXT(A98,"ddd")</f>
        <v>Sat</v>
      </c>
    </row>
    <row r="99" spans="1:8" ht="13.8" customHeight="1" x14ac:dyDescent="0.25">
      <c r="A99" s="13"/>
      <c r="B99" s="14"/>
      <c r="C99" s="39"/>
      <c r="D99" s="39"/>
      <c r="E99" s="36" t="str">
        <f>IF(SUM(C99:D99)=0," ",SUM(C99:D99))</f>
        <v xml:space="preserve"> </v>
      </c>
      <c r="F99" s="14"/>
      <c r="G99" s="120" t="e">
        <f>VLOOKUP($B99,Information!$C$8:$F$15,4,FALSE)</f>
        <v>#N/A</v>
      </c>
      <c r="H99" s="210" t="str">
        <f>TEXT(A99,"ddd")</f>
        <v>Sat</v>
      </c>
    </row>
    <row r="100" spans="1:8" ht="13.8" customHeight="1" x14ac:dyDescent="0.25">
      <c r="A100" s="13"/>
      <c r="B100" s="14"/>
      <c r="C100" s="39"/>
      <c r="D100" s="39"/>
      <c r="E100" s="36" t="str">
        <f>IF(SUM(C100:D100)=0," ",SUM(C100:D100))</f>
        <v xml:space="preserve"> </v>
      </c>
      <c r="F100" s="14"/>
      <c r="G100" s="120" t="e">
        <f>VLOOKUP($B100,Information!$C$8:$F$15,4,FALSE)</f>
        <v>#N/A</v>
      </c>
      <c r="H100" s="210" t="str">
        <f>TEXT(A100,"ddd")</f>
        <v>Sat</v>
      </c>
    </row>
    <row r="101" spans="1:8" ht="14.4" customHeight="1" x14ac:dyDescent="0.25">
      <c r="A101" s="13"/>
      <c r="B101" s="14"/>
      <c r="C101" s="39"/>
      <c r="D101" s="39"/>
      <c r="E101" s="36" t="str">
        <f>IF(SUM(C101:D101)=0," ",SUM(C101:D101))</f>
        <v xml:space="preserve"> </v>
      </c>
      <c r="F101" s="14"/>
      <c r="G101" s="120" t="e">
        <f>VLOOKUP($B101,Information!$C$8:$F$15,4,FALSE)</f>
        <v>#N/A</v>
      </c>
      <c r="H101" s="210" t="str">
        <f>TEXT(A101,"ddd")</f>
        <v>Sat</v>
      </c>
    </row>
    <row r="102" spans="1:8" x14ac:dyDescent="0.25">
      <c r="A102" s="13"/>
      <c r="B102" s="14"/>
      <c r="C102" s="39"/>
      <c r="D102" s="39"/>
      <c r="E102" s="36" t="str">
        <f>IF(SUM(C102:D102)=0," ",SUM(C102:D102))</f>
        <v xml:space="preserve"> </v>
      </c>
      <c r="F102" s="14"/>
      <c r="G102" s="120" t="e">
        <f>VLOOKUP($B102,Information!$C$8:$F$15,4,FALSE)</f>
        <v>#N/A</v>
      </c>
      <c r="H102" s="210" t="str">
        <f>TEXT(A102,"ddd")</f>
        <v>Sat</v>
      </c>
    </row>
    <row r="103" spans="1:8" ht="13.8" customHeight="1" x14ac:dyDescent="0.25">
      <c r="A103" s="15"/>
      <c r="B103" s="14"/>
      <c r="C103" s="37"/>
      <c r="D103" s="37"/>
      <c r="E103" s="36" t="str">
        <f>IF(SUM(C103:D103)=0," ",SUM(C103:D103))</f>
        <v xml:space="preserve"> </v>
      </c>
      <c r="F103" s="17"/>
      <c r="G103" s="120" t="e">
        <f>VLOOKUP($B103,Information!$C$8:$F$15,4,FALSE)</f>
        <v>#N/A</v>
      </c>
      <c r="H103" s="210" t="str">
        <f>TEXT(A103,"ddd")</f>
        <v>Sat</v>
      </c>
    </row>
    <row r="104" spans="1:8" ht="13.8" customHeight="1" x14ac:dyDescent="0.3">
      <c r="A104" s="15"/>
      <c r="B104" s="14"/>
      <c r="C104" s="37"/>
      <c r="D104" s="37"/>
      <c r="E104" s="36" t="str">
        <f>IF(SUM(C104:D104)=0," ",SUM(C104:D104))</f>
        <v xml:space="preserve"> </v>
      </c>
      <c r="F104" s="18"/>
      <c r="G104" s="120" t="e">
        <f>VLOOKUP($B104,Information!$C$8:$F$15,4,FALSE)</f>
        <v>#N/A</v>
      </c>
      <c r="H104" s="210" t="str">
        <f>TEXT(A104,"ddd")</f>
        <v>Sat</v>
      </c>
    </row>
    <row r="105" spans="1:8" x14ac:dyDescent="0.25">
      <c r="A105" s="13"/>
      <c r="B105" s="14"/>
      <c r="C105" s="39"/>
      <c r="D105" s="39"/>
      <c r="E105" s="36" t="str">
        <f>IF(SUM(C105:D105)=0," ",SUM(C105:D105))</f>
        <v xml:space="preserve"> </v>
      </c>
      <c r="F105" s="14"/>
      <c r="G105" s="120" t="e">
        <f>VLOOKUP($B105,Information!$C$8:$F$15,4,FALSE)</f>
        <v>#N/A</v>
      </c>
      <c r="H105" s="210" t="str">
        <f>TEXT(A105,"ddd")</f>
        <v>Sat</v>
      </c>
    </row>
    <row r="106" spans="1:8" x14ac:dyDescent="0.25">
      <c r="A106" s="15"/>
      <c r="B106" s="14"/>
      <c r="C106" s="37"/>
      <c r="D106" s="37"/>
      <c r="E106" s="36" t="str">
        <f>IF(SUM(C106:D106)=0," ",SUM(C106:D106))</f>
        <v xml:space="preserve"> </v>
      </c>
      <c r="F106" s="17"/>
      <c r="G106" s="120" t="e">
        <f>VLOOKUP($B106,Information!$C$8:$F$15,4,FALSE)</f>
        <v>#N/A</v>
      </c>
      <c r="H106" s="210" t="str">
        <f>TEXT(A106,"ddd")</f>
        <v>Sat</v>
      </c>
    </row>
    <row r="107" spans="1:8" ht="13.8" customHeight="1" x14ac:dyDescent="0.25">
      <c r="A107" s="15"/>
      <c r="B107" s="14"/>
      <c r="C107" s="37"/>
      <c r="D107" s="37"/>
      <c r="E107" s="36" t="str">
        <f>IF(SUM(C107:D107)=0," ",SUM(C107:D107))</f>
        <v xml:space="preserve"> </v>
      </c>
      <c r="F107" s="17"/>
      <c r="G107" s="120" t="e">
        <f>VLOOKUP($B107,Information!$C$8:$F$15,4,FALSE)</f>
        <v>#N/A</v>
      </c>
      <c r="H107" s="210" t="str">
        <f>TEXT(A107,"ddd")</f>
        <v>Sat</v>
      </c>
    </row>
    <row r="108" spans="1:8" ht="13.8" customHeight="1" x14ac:dyDescent="0.25">
      <c r="A108" s="13"/>
      <c r="B108" s="14"/>
      <c r="C108" s="39"/>
      <c r="D108" s="39"/>
      <c r="E108" s="36" t="str">
        <f>IF(SUM(C108:D108)=0," ",SUM(C108:D108))</f>
        <v xml:space="preserve"> </v>
      </c>
      <c r="F108" s="14"/>
      <c r="G108" s="120" t="e">
        <f>VLOOKUP($B108,Information!$C$8:$F$15,4,FALSE)</f>
        <v>#N/A</v>
      </c>
      <c r="H108" s="210" t="str">
        <f>TEXT(A108,"ddd")</f>
        <v>Sat</v>
      </c>
    </row>
    <row r="109" spans="1:8" ht="13.8" customHeight="1" x14ac:dyDescent="0.25">
      <c r="A109" s="13"/>
      <c r="B109" s="14"/>
      <c r="C109" s="39"/>
      <c r="D109" s="39"/>
      <c r="E109" s="36" t="str">
        <f>IF(SUM(C109:D109)=0," ",SUM(C109:D109))</f>
        <v xml:space="preserve"> </v>
      </c>
      <c r="F109" s="14"/>
      <c r="G109" s="120" t="e">
        <f>VLOOKUP($B109,Information!$C$8:$F$15,4,FALSE)</f>
        <v>#N/A</v>
      </c>
      <c r="H109" s="210" t="str">
        <f>TEXT(A109,"ddd")</f>
        <v>Sat</v>
      </c>
    </row>
    <row r="110" spans="1:8" ht="13.8" customHeight="1" x14ac:dyDescent="0.25">
      <c r="A110" s="13"/>
      <c r="B110" s="14"/>
      <c r="C110" s="39"/>
      <c r="D110" s="39"/>
      <c r="E110" s="36" t="str">
        <f>IF(SUM(C110:D110)=0," ",SUM(C110:D110))</f>
        <v xml:space="preserve"> </v>
      </c>
      <c r="F110" s="14"/>
      <c r="G110" s="120" t="e">
        <f>VLOOKUP($B110,Information!$C$8:$F$15,4,FALSE)</f>
        <v>#N/A</v>
      </c>
      <c r="H110" s="210" t="str">
        <f>TEXT(A110,"ddd")</f>
        <v>Sat</v>
      </c>
    </row>
    <row r="111" spans="1:8" x14ac:dyDescent="0.25">
      <c r="A111" s="15"/>
      <c r="B111" s="14"/>
      <c r="C111" s="37"/>
      <c r="D111" s="37"/>
      <c r="E111" s="36" t="str">
        <f>IF(SUM(C111:D111)=0," ",SUM(C111:D111))</f>
        <v xml:space="preserve"> </v>
      </c>
      <c r="F111" s="16"/>
      <c r="G111" s="120" t="e">
        <f>VLOOKUP($B111,Information!$C$8:$F$15,4,FALSE)</f>
        <v>#N/A</v>
      </c>
      <c r="H111" s="210" t="str">
        <f>TEXT(A111,"ddd")</f>
        <v>Sat</v>
      </c>
    </row>
    <row r="112" spans="1:8" ht="13.8" customHeight="1" x14ac:dyDescent="0.25">
      <c r="A112" s="13"/>
      <c r="B112" s="14"/>
      <c r="C112" s="39"/>
      <c r="D112" s="39"/>
      <c r="E112" s="36" t="str">
        <f>IF(SUM(C112:D112)=0," ",SUM(C112:D112))</f>
        <v xml:space="preserve"> </v>
      </c>
      <c r="F112" s="14"/>
      <c r="G112" s="120" t="e">
        <f>VLOOKUP($B112,Information!$C$8:$F$15,4,FALSE)</f>
        <v>#N/A</v>
      </c>
      <c r="H112" s="210" t="str">
        <f>TEXT(A112,"ddd")</f>
        <v>Sat</v>
      </c>
    </row>
    <row r="113" spans="1:8" ht="13.8" customHeight="1" x14ac:dyDescent="0.25">
      <c r="A113" s="13"/>
      <c r="B113" s="14"/>
      <c r="C113" s="39"/>
      <c r="D113" s="39"/>
      <c r="E113" s="36" t="str">
        <f>IF(SUM(C113:D113)=0," ",SUM(C113:D113))</f>
        <v xml:space="preserve"> </v>
      </c>
      <c r="F113" s="14"/>
      <c r="G113" s="120" t="e">
        <f>VLOOKUP($B113,Information!$C$8:$F$15,4,FALSE)</f>
        <v>#N/A</v>
      </c>
      <c r="H113" s="210" t="str">
        <f>TEXT(A113,"ddd")</f>
        <v>Sat</v>
      </c>
    </row>
    <row r="114" spans="1:8" ht="13.8" customHeight="1" x14ac:dyDescent="0.25">
      <c r="A114" s="15"/>
      <c r="B114" s="14"/>
      <c r="C114" s="37"/>
      <c r="D114" s="37"/>
      <c r="E114" s="36" t="str">
        <f>IF(SUM(C114:D114)=0," ",SUM(C114:D114))</f>
        <v xml:space="preserve"> </v>
      </c>
      <c r="F114" s="17"/>
      <c r="G114" s="120" t="e">
        <f>VLOOKUP($B114,Information!$C$8:$F$15,4,FALSE)</f>
        <v>#N/A</v>
      </c>
      <c r="H114" s="210" t="str">
        <f>TEXT(A114,"ddd")</f>
        <v>Sat</v>
      </c>
    </row>
    <row r="115" spans="1:8" ht="13.8" customHeight="1" x14ac:dyDescent="0.25">
      <c r="A115" s="13"/>
      <c r="B115" s="14"/>
      <c r="C115" s="39"/>
      <c r="D115" s="39"/>
      <c r="E115" s="36" t="str">
        <f>IF(SUM(C115:D115)=0," ",SUM(C115:D115))</f>
        <v xml:space="preserve"> </v>
      </c>
      <c r="F115" s="14"/>
      <c r="G115" s="120" t="e">
        <f>VLOOKUP($B115,Information!$C$8:$F$15,4,FALSE)</f>
        <v>#N/A</v>
      </c>
      <c r="H115" s="210" t="str">
        <f>TEXT(A115,"ddd")</f>
        <v>Sat</v>
      </c>
    </row>
    <row r="116" spans="1:8" ht="13.8" customHeight="1" x14ac:dyDescent="0.25">
      <c r="A116" s="13"/>
      <c r="B116" s="14"/>
      <c r="C116" s="39"/>
      <c r="D116" s="39"/>
      <c r="E116" s="36" t="str">
        <f>IF(SUM(C116:D116)=0," ",SUM(C116:D116))</f>
        <v xml:space="preserve"> </v>
      </c>
      <c r="F116" s="14"/>
      <c r="G116" s="120" t="e">
        <f>VLOOKUP($B116,Information!$C$8:$F$15,4,FALSE)</f>
        <v>#N/A</v>
      </c>
      <c r="H116" s="210" t="str">
        <f>TEXT(A116,"ddd")</f>
        <v>Sat</v>
      </c>
    </row>
    <row r="117" spans="1:8" ht="13.8" customHeight="1" x14ac:dyDescent="0.3">
      <c r="A117" s="15"/>
      <c r="B117" s="14"/>
      <c r="C117" s="37"/>
      <c r="D117" s="37"/>
      <c r="E117" s="36" t="str">
        <f>IF(SUM(C117:D117)=0," ",SUM(C117:D117))</f>
        <v xml:space="preserve"> </v>
      </c>
      <c r="F117" s="18"/>
      <c r="G117" s="120" t="e">
        <f>VLOOKUP($B117,Information!$C$8:$F$15,4,FALSE)</f>
        <v>#N/A</v>
      </c>
      <c r="H117" s="210" t="str">
        <f>TEXT(A117,"ddd")</f>
        <v>Sat</v>
      </c>
    </row>
    <row r="118" spans="1:8" ht="13.8" customHeight="1" x14ac:dyDescent="0.25">
      <c r="A118" s="13"/>
      <c r="B118" s="14"/>
      <c r="C118" s="39"/>
      <c r="D118" s="39"/>
      <c r="E118" s="36" t="str">
        <f>IF(SUM(C118:D118)=0," ",SUM(C118:D118))</f>
        <v xml:space="preserve"> </v>
      </c>
      <c r="F118" s="14"/>
      <c r="G118" s="120" t="e">
        <f>VLOOKUP($B118,Information!$C$8:$F$15,4,FALSE)</f>
        <v>#N/A</v>
      </c>
      <c r="H118" s="210" t="str">
        <f>TEXT(A118,"ddd")</f>
        <v>Sat</v>
      </c>
    </row>
    <row r="119" spans="1:8" ht="13.8" customHeight="1" x14ac:dyDescent="0.25">
      <c r="A119" s="13"/>
      <c r="B119" s="14"/>
      <c r="C119" s="39"/>
      <c r="D119" s="39"/>
      <c r="E119" s="36" t="str">
        <f>IF(SUM(C119:D119)=0," ",SUM(C119:D119))</f>
        <v xml:space="preserve"> </v>
      </c>
      <c r="F119" s="14"/>
      <c r="G119" s="120" t="e">
        <f>VLOOKUP($B119,Information!$C$8:$F$15,4,FALSE)</f>
        <v>#N/A</v>
      </c>
      <c r="H119" s="210" t="str">
        <f>TEXT(A119,"ddd")</f>
        <v>Sat</v>
      </c>
    </row>
    <row r="120" spans="1:8" x14ac:dyDescent="0.25">
      <c r="A120" s="15"/>
      <c r="B120" s="14"/>
      <c r="C120" s="37"/>
      <c r="D120" s="37"/>
      <c r="E120" s="36" t="str">
        <f>IF(SUM(C120:D120)=0," ",SUM(C120:D120))</f>
        <v xml:space="preserve"> </v>
      </c>
      <c r="F120" s="17"/>
      <c r="G120" s="120" t="e">
        <f>VLOOKUP($B120,Information!$C$8:$F$15,4,FALSE)</f>
        <v>#N/A</v>
      </c>
      <c r="H120" s="210" t="str">
        <f>TEXT(A120,"ddd")</f>
        <v>Sat</v>
      </c>
    </row>
    <row r="121" spans="1:8" ht="13.8" customHeight="1" x14ac:dyDescent="0.3">
      <c r="A121" s="15"/>
      <c r="B121" s="14"/>
      <c r="C121" s="37"/>
      <c r="D121" s="37"/>
      <c r="E121" s="36" t="str">
        <f>IF(SUM(C121:D121)=0," ",SUM(C121:D121))</f>
        <v xml:space="preserve"> </v>
      </c>
      <c r="F121" s="18"/>
      <c r="G121" s="120" t="e">
        <f>VLOOKUP($B121,Information!$C$8:$F$15,4,FALSE)</f>
        <v>#N/A</v>
      </c>
      <c r="H121" s="210" t="str">
        <f>TEXT(A121,"ddd")</f>
        <v>Sat</v>
      </c>
    </row>
    <row r="122" spans="1:8" ht="13.8" customHeight="1" x14ac:dyDescent="0.25">
      <c r="A122" s="13"/>
      <c r="B122" s="14"/>
      <c r="C122" s="39"/>
      <c r="D122" s="39"/>
      <c r="E122" s="36" t="str">
        <f>IF(SUM(C122:D122)=0," ",SUM(C122:D122))</f>
        <v xml:space="preserve"> </v>
      </c>
      <c r="F122" s="14"/>
      <c r="G122" s="120" t="e">
        <f>VLOOKUP($B122,Information!$C$8:$F$15,4,FALSE)</f>
        <v>#N/A</v>
      </c>
      <c r="H122" s="210" t="str">
        <f>TEXT(A122,"ddd")</f>
        <v>Sat</v>
      </c>
    </row>
    <row r="123" spans="1:8" x14ac:dyDescent="0.25">
      <c r="A123" s="13"/>
      <c r="B123" s="14"/>
      <c r="C123" s="39"/>
      <c r="D123" s="39"/>
      <c r="E123" s="36" t="str">
        <f>IF(SUM(C123:D123)=0," ",SUM(C123:D123))</f>
        <v xml:space="preserve"> </v>
      </c>
      <c r="F123" s="14"/>
      <c r="G123" s="120" t="e">
        <f>VLOOKUP($B123,Information!$C$8:$F$15,4,FALSE)</f>
        <v>#N/A</v>
      </c>
      <c r="H123" s="210" t="str">
        <f>TEXT(A123,"ddd")</f>
        <v>Sat</v>
      </c>
    </row>
    <row r="124" spans="1:8" ht="14.4" x14ac:dyDescent="0.3">
      <c r="A124" s="15"/>
      <c r="B124" s="14"/>
      <c r="C124" s="37"/>
      <c r="D124" s="37"/>
      <c r="E124" s="36" t="str">
        <f>IF(SUM(C124:D124)=0," ",SUM(C124:D124))</f>
        <v xml:space="preserve"> </v>
      </c>
      <c r="F124" s="18"/>
      <c r="G124" s="120" t="e">
        <f>VLOOKUP($B124,Information!$C$8:$F$15,4,FALSE)</f>
        <v>#N/A</v>
      </c>
      <c r="H124" s="210" t="str">
        <f>TEXT(A124,"ddd")</f>
        <v>Sat</v>
      </c>
    </row>
    <row r="125" spans="1:8" ht="14.4" x14ac:dyDescent="0.3">
      <c r="A125" s="15"/>
      <c r="B125" s="14"/>
      <c r="C125" s="37"/>
      <c r="D125" s="37"/>
      <c r="E125" s="36" t="str">
        <f>IF(SUM(C125:D125)=0," ",SUM(C125:D125))</f>
        <v xml:space="preserve"> </v>
      </c>
      <c r="F125" s="18"/>
      <c r="G125" s="120" t="e">
        <f>VLOOKUP($B125,Information!$C$8:$F$15,4,FALSE)</f>
        <v>#N/A</v>
      </c>
      <c r="H125" s="210" t="str">
        <f>TEXT(A125,"ddd")</f>
        <v>Sat</v>
      </c>
    </row>
    <row r="126" spans="1:8" ht="13.8" customHeight="1" x14ac:dyDescent="0.3">
      <c r="A126" s="15"/>
      <c r="B126" s="14"/>
      <c r="C126" s="37"/>
      <c r="D126" s="37"/>
      <c r="E126" s="36" t="str">
        <f>IF(SUM(C126:D126)=0," ",SUM(C126:D126))</f>
        <v xml:space="preserve"> </v>
      </c>
      <c r="F126" s="18"/>
      <c r="G126" s="120" t="e">
        <f>VLOOKUP($B126,Information!$C$8:$F$15,4,FALSE)</f>
        <v>#N/A</v>
      </c>
      <c r="H126" s="210" t="str">
        <f>TEXT(A126,"ddd")</f>
        <v>Sat</v>
      </c>
    </row>
    <row r="127" spans="1:8" ht="14.4" customHeight="1" x14ac:dyDescent="0.25">
      <c r="A127" s="13"/>
      <c r="B127" s="14"/>
      <c r="C127" s="39"/>
      <c r="D127" s="39"/>
      <c r="E127" s="36" t="str">
        <f>IF(SUM(C127:D127)=0," ",SUM(C127:D127))</f>
        <v xml:space="preserve"> </v>
      </c>
      <c r="F127" s="14"/>
      <c r="G127" s="120" t="e">
        <f>VLOOKUP($B127,Information!$C$8:$F$15,4,FALSE)</f>
        <v>#N/A</v>
      </c>
      <c r="H127" s="210" t="str">
        <f>TEXT(A127,"ddd")</f>
        <v>Sat</v>
      </c>
    </row>
    <row r="128" spans="1:8" ht="13.8" customHeight="1" x14ac:dyDescent="0.3">
      <c r="A128" s="15"/>
      <c r="B128" s="14"/>
      <c r="C128" s="37"/>
      <c r="D128" s="37"/>
      <c r="E128" s="36" t="str">
        <f>IF(SUM(C128:D128)=0," ",SUM(C128:D128))</f>
        <v xml:space="preserve"> </v>
      </c>
      <c r="F128" s="18"/>
      <c r="G128" s="120" t="e">
        <f>VLOOKUP($B128,Information!$C$8:$F$15,4,FALSE)</f>
        <v>#N/A</v>
      </c>
      <c r="H128" s="210" t="str">
        <f>TEXT(A128,"ddd")</f>
        <v>Sat</v>
      </c>
    </row>
    <row r="129" spans="1:8" ht="13.8" customHeight="1" x14ac:dyDescent="0.3">
      <c r="A129" s="15"/>
      <c r="B129" s="14"/>
      <c r="C129" s="37"/>
      <c r="D129" s="37"/>
      <c r="E129" s="36" t="str">
        <f>IF(SUM(C129:D129)=0," ",SUM(C129:D129))</f>
        <v xml:space="preserve"> </v>
      </c>
      <c r="F129" s="18"/>
      <c r="G129" s="120" t="e">
        <f>VLOOKUP($B129,Information!$C$8:$F$15,4,FALSE)</f>
        <v>#N/A</v>
      </c>
      <c r="H129" s="210" t="str">
        <f>TEXT(A129,"ddd")</f>
        <v>Sat</v>
      </c>
    </row>
    <row r="130" spans="1:8" ht="13.8" customHeight="1" x14ac:dyDescent="0.25">
      <c r="A130" s="13"/>
      <c r="B130" s="14"/>
      <c r="C130" s="39"/>
      <c r="D130" s="39"/>
      <c r="E130" s="36" t="str">
        <f>IF(SUM(C130:D130)=0," ",SUM(C130:D130))</f>
        <v xml:space="preserve"> </v>
      </c>
      <c r="F130" s="14"/>
      <c r="G130" s="120" t="e">
        <f>VLOOKUP($B130,Information!$C$8:$F$15,4,FALSE)</f>
        <v>#N/A</v>
      </c>
      <c r="H130" s="210" t="str">
        <f>TEXT(A130,"ddd")</f>
        <v>Sat</v>
      </c>
    </row>
    <row r="131" spans="1:8" ht="13.8" customHeight="1" x14ac:dyDescent="0.25">
      <c r="A131" s="13"/>
      <c r="B131" s="14"/>
      <c r="C131" s="39"/>
      <c r="D131" s="39"/>
      <c r="E131" s="36" t="str">
        <f>IF(SUM(C131:D131)=0," ",SUM(C131:D131))</f>
        <v xml:space="preserve"> </v>
      </c>
      <c r="F131" s="14"/>
      <c r="G131" s="120" t="e">
        <f>VLOOKUP($B131,Information!$C$8:$F$15,4,FALSE)</f>
        <v>#N/A</v>
      </c>
      <c r="H131" s="210" t="str">
        <f>TEXT(A131,"ddd")</f>
        <v>Sat</v>
      </c>
    </row>
    <row r="132" spans="1:8" ht="14.4" customHeight="1" x14ac:dyDescent="0.25">
      <c r="A132" s="13"/>
      <c r="B132" s="14"/>
      <c r="C132" s="39"/>
      <c r="D132" s="39"/>
      <c r="E132" s="36" t="str">
        <f>IF(SUM(C132:D132)=0," ",SUM(C132:D132))</f>
        <v xml:space="preserve"> </v>
      </c>
      <c r="F132" s="14"/>
      <c r="G132" s="120" t="e">
        <f>VLOOKUP($B132,Information!$C$8:$F$15,4,FALSE)</f>
        <v>#N/A</v>
      </c>
      <c r="H132" s="210" t="str">
        <f>TEXT(A132,"ddd")</f>
        <v>Sat</v>
      </c>
    </row>
    <row r="133" spans="1:8" ht="13.8" customHeight="1" x14ac:dyDescent="0.3">
      <c r="A133" s="15"/>
      <c r="B133" s="14"/>
      <c r="C133" s="37"/>
      <c r="D133" s="37"/>
      <c r="E133" s="36" t="str">
        <f>IF(SUM(C133:D133)=0," ",SUM(C133:D133))</f>
        <v xml:space="preserve"> </v>
      </c>
      <c r="F133" s="18"/>
      <c r="G133" s="120" t="e">
        <f>VLOOKUP($B133,Information!$C$8:$F$15,4,FALSE)</f>
        <v>#N/A</v>
      </c>
      <c r="H133" s="210" t="str">
        <f>TEXT(A133,"ddd")</f>
        <v>Sat</v>
      </c>
    </row>
    <row r="134" spans="1:8" ht="13.8" customHeight="1" x14ac:dyDescent="0.25">
      <c r="A134" s="13"/>
      <c r="B134" s="14"/>
      <c r="C134" s="39"/>
      <c r="D134" s="39"/>
      <c r="E134" s="36" t="str">
        <f>IF(SUM(C134:D134)=0," ",SUM(C134:D134))</f>
        <v xml:space="preserve"> </v>
      </c>
      <c r="F134" s="14"/>
      <c r="G134" s="120" t="e">
        <f>VLOOKUP($B134,Information!$C$8:$F$15,4,FALSE)</f>
        <v>#N/A</v>
      </c>
      <c r="H134" s="210" t="str">
        <f>TEXT(A134,"ddd")</f>
        <v>Sat</v>
      </c>
    </row>
    <row r="135" spans="1:8" ht="13.8" customHeight="1" x14ac:dyDescent="0.25">
      <c r="A135" s="13"/>
      <c r="B135" s="14"/>
      <c r="C135" s="39"/>
      <c r="D135" s="39"/>
      <c r="E135" s="36" t="str">
        <f>IF(SUM(C135:D135)=0," ",SUM(C135:D135))</f>
        <v xml:space="preserve"> </v>
      </c>
      <c r="F135" s="14"/>
      <c r="G135" s="120" t="e">
        <f>VLOOKUP($B135,Information!$C$8:$F$15,4,FALSE)</f>
        <v>#N/A</v>
      </c>
      <c r="H135" s="210" t="str">
        <f>TEXT(A135,"ddd")</f>
        <v>Sat</v>
      </c>
    </row>
    <row r="136" spans="1:8" x14ac:dyDescent="0.25">
      <c r="A136" s="13"/>
      <c r="B136" s="14"/>
      <c r="C136" s="39"/>
      <c r="D136" s="39"/>
      <c r="E136" s="36" t="str">
        <f>IF(SUM(C136:D136)=0," ",SUM(C136:D136))</f>
        <v xml:space="preserve"> </v>
      </c>
      <c r="F136" s="14"/>
      <c r="G136" s="120" t="e">
        <f>VLOOKUP($B136,Information!$C$8:$F$15,4,FALSE)</f>
        <v>#N/A</v>
      </c>
      <c r="H136" s="210" t="str">
        <f>TEXT(A136,"ddd")</f>
        <v>Sat</v>
      </c>
    </row>
    <row r="137" spans="1:8" ht="13.8" customHeight="1" x14ac:dyDescent="0.3">
      <c r="A137" s="15"/>
      <c r="B137" s="14"/>
      <c r="C137" s="37"/>
      <c r="D137" s="37"/>
      <c r="E137" s="36" t="str">
        <f>IF(SUM(C137:D137)=0," ",SUM(C137:D137))</f>
        <v xml:space="preserve"> </v>
      </c>
      <c r="F137" s="18"/>
      <c r="G137" s="120" t="e">
        <f>VLOOKUP($B137,Information!$C$8:$F$15,4,FALSE)</f>
        <v>#N/A</v>
      </c>
      <c r="H137" s="210" t="str">
        <f>TEXT(A137,"ddd")</f>
        <v>Sat</v>
      </c>
    </row>
    <row r="138" spans="1:8" ht="13.8" customHeight="1" x14ac:dyDescent="0.3">
      <c r="A138" s="15"/>
      <c r="B138" s="14"/>
      <c r="C138" s="37"/>
      <c r="D138" s="37"/>
      <c r="E138" s="36" t="str">
        <f>IF(SUM(C138:D138)=0," ",SUM(C138:D138))</f>
        <v xml:space="preserve"> </v>
      </c>
      <c r="F138" s="18"/>
      <c r="G138" s="120" t="e">
        <f>VLOOKUP($B138,Information!$C$8:$F$15,4,FALSE)</f>
        <v>#N/A</v>
      </c>
      <c r="H138" s="210" t="str">
        <f>TEXT(A138,"ddd")</f>
        <v>Sat</v>
      </c>
    </row>
    <row r="139" spans="1:8" ht="13.8" customHeight="1" x14ac:dyDescent="0.25">
      <c r="A139" s="13"/>
      <c r="B139" s="14"/>
      <c r="C139" s="39"/>
      <c r="D139" s="39"/>
      <c r="E139" s="36" t="str">
        <f>IF(SUM(C139:D139)=0," ",SUM(C139:D139))</f>
        <v xml:space="preserve"> </v>
      </c>
      <c r="F139" s="14"/>
      <c r="G139" s="120" t="e">
        <f>VLOOKUP($B139,Information!$C$8:$F$15,4,FALSE)</f>
        <v>#N/A</v>
      </c>
      <c r="H139" s="210" t="str">
        <f>TEXT(A139,"ddd")</f>
        <v>Sat</v>
      </c>
    </row>
    <row r="140" spans="1:8" ht="13.8" customHeight="1" x14ac:dyDescent="0.25">
      <c r="A140" s="13"/>
      <c r="B140" s="14"/>
      <c r="C140" s="39"/>
      <c r="D140" s="39"/>
      <c r="E140" s="36" t="str">
        <f>IF(SUM(C140:D140)=0," ",SUM(C140:D140))</f>
        <v xml:space="preserve"> </v>
      </c>
      <c r="F140" s="14"/>
      <c r="G140" s="120" t="e">
        <f>VLOOKUP($B140,Information!$C$8:$F$15,4,FALSE)</f>
        <v>#N/A</v>
      </c>
      <c r="H140" s="210" t="str">
        <f>TEXT(A140,"ddd")</f>
        <v>Sat</v>
      </c>
    </row>
    <row r="141" spans="1:8" x14ac:dyDescent="0.25">
      <c r="A141" s="13"/>
      <c r="B141" s="14"/>
      <c r="C141" s="39"/>
      <c r="D141" s="39"/>
      <c r="E141" s="36" t="str">
        <f>IF(SUM(C141:D141)=0," ",SUM(C141:D141))</f>
        <v xml:space="preserve"> </v>
      </c>
      <c r="F141" s="14"/>
      <c r="G141" s="120" t="e">
        <f>VLOOKUP($B141,Information!$C$8:$F$15,4,FALSE)</f>
        <v>#N/A</v>
      </c>
      <c r="H141" s="210" t="str">
        <f>TEXT(A141,"ddd")</f>
        <v>Sat</v>
      </c>
    </row>
    <row r="142" spans="1:8" ht="13.8" customHeight="1" x14ac:dyDescent="0.3">
      <c r="A142" s="15"/>
      <c r="B142" s="14"/>
      <c r="C142" s="37"/>
      <c r="D142" s="37"/>
      <c r="E142" s="36" t="str">
        <f>IF(SUM(C142:D142)=0," ",SUM(C142:D142))</f>
        <v xml:space="preserve"> </v>
      </c>
      <c r="F142" s="18"/>
      <c r="G142" s="120" t="e">
        <f>VLOOKUP($B142,Information!$C$8:$F$15,4,FALSE)</f>
        <v>#N/A</v>
      </c>
      <c r="H142" s="210" t="str">
        <f>TEXT(A142,"ddd")</f>
        <v>Sat</v>
      </c>
    </row>
    <row r="143" spans="1:8" ht="13.8" customHeight="1" x14ac:dyDescent="0.25">
      <c r="A143" s="13"/>
      <c r="B143" s="14"/>
      <c r="C143" s="39"/>
      <c r="D143" s="39"/>
      <c r="E143" s="36" t="str">
        <f>IF(SUM(C143:D143)=0," ",SUM(C143:D143))</f>
        <v xml:space="preserve"> </v>
      </c>
      <c r="F143" s="14"/>
      <c r="G143" s="120" t="e">
        <f>VLOOKUP($B143,Information!$C$8:$F$15,4,FALSE)</f>
        <v>#N/A</v>
      </c>
      <c r="H143" s="210" t="str">
        <f>TEXT(A143,"ddd")</f>
        <v>Sat</v>
      </c>
    </row>
    <row r="144" spans="1:8" ht="13.8" customHeight="1" x14ac:dyDescent="0.25">
      <c r="A144" s="15"/>
      <c r="B144" s="14"/>
      <c r="C144" s="37"/>
      <c r="D144" s="37"/>
      <c r="E144" s="36" t="str">
        <f>IF(SUM(C144:D144)=0," ",SUM(C144:D144))</f>
        <v xml:space="preserve"> </v>
      </c>
      <c r="F144" s="17"/>
      <c r="G144" s="120" t="e">
        <f>VLOOKUP($B144,Information!$C$8:$F$15,4,FALSE)</f>
        <v>#N/A</v>
      </c>
      <c r="H144" s="210" t="str">
        <f>TEXT(A144,"ddd")</f>
        <v>Sat</v>
      </c>
    </row>
    <row r="145" spans="1:8" ht="13.8" customHeight="1" x14ac:dyDescent="0.25">
      <c r="A145" s="15"/>
      <c r="B145" s="14"/>
      <c r="C145" s="37"/>
      <c r="D145" s="37"/>
      <c r="E145" s="36" t="str">
        <f>IF(SUM(C145:D145)=0," ",SUM(C145:D145))</f>
        <v xml:space="preserve"> </v>
      </c>
      <c r="F145" s="17"/>
      <c r="G145" s="120" t="e">
        <f>VLOOKUP($B145,Information!$C$8:$F$15,4,FALSE)</f>
        <v>#N/A</v>
      </c>
      <c r="H145" s="210" t="str">
        <f>TEXT(A145,"ddd")</f>
        <v>Sat</v>
      </c>
    </row>
    <row r="146" spans="1:8" ht="13.8" customHeight="1" x14ac:dyDescent="0.25">
      <c r="A146" s="13"/>
      <c r="B146" s="14"/>
      <c r="C146" s="39"/>
      <c r="D146" s="39"/>
      <c r="E146" s="36" t="str">
        <f>IF(SUM(C146:D146)=0," ",SUM(C146:D146))</f>
        <v xml:space="preserve"> </v>
      </c>
      <c r="F146" s="14"/>
      <c r="G146" s="120" t="e">
        <f>VLOOKUP($B146,Information!$C$8:$F$15,4,FALSE)</f>
        <v>#N/A</v>
      </c>
      <c r="H146" s="210" t="str">
        <f>TEXT(A146,"ddd")</f>
        <v>Sat</v>
      </c>
    </row>
    <row r="147" spans="1:8" ht="13.8" customHeight="1" x14ac:dyDescent="0.3">
      <c r="A147" s="15"/>
      <c r="B147" s="14"/>
      <c r="C147" s="37"/>
      <c r="D147" s="37"/>
      <c r="E147" s="36" t="str">
        <f>IF(SUM(C147:D147)=0," ",SUM(C147:D147))</f>
        <v xml:space="preserve"> </v>
      </c>
      <c r="F147" s="18"/>
      <c r="G147" s="120" t="e">
        <f>VLOOKUP($B147,Information!$C$8:$F$15,4,FALSE)</f>
        <v>#N/A</v>
      </c>
      <c r="H147" s="210" t="str">
        <f>TEXT(A147,"ddd")</f>
        <v>Sat</v>
      </c>
    </row>
    <row r="148" spans="1:8" x14ac:dyDescent="0.25">
      <c r="A148" s="13"/>
      <c r="B148" s="14"/>
      <c r="C148" s="39"/>
      <c r="D148" s="39"/>
      <c r="E148" s="36" t="str">
        <f>IF(SUM(C148:D148)=0," ",SUM(C148:D148))</f>
        <v xml:space="preserve"> </v>
      </c>
      <c r="F148" s="14"/>
      <c r="G148" s="120" t="e">
        <f>VLOOKUP($B148,Information!$C$8:$F$15,4,FALSE)</f>
        <v>#N/A</v>
      </c>
      <c r="H148" s="210" t="str">
        <f>TEXT(A148,"ddd")</f>
        <v>Sat</v>
      </c>
    </row>
    <row r="149" spans="1:8" ht="13.8" customHeight="1" x14ac:dyDescent="0.25">
      <c r="A149" s="13"/>
      <c r="B149" s="14"/>
      <c r="C149" s="39"/>
      <c r="D149" s="39"/>
      <c r="E149" s="36" t="str">
        <f>IF(SUM(C149:D149)=0," ",SUM(C149:D149))</f>
        <v xml:space="preserve"> </v>
      </c>
      <c r="F149" s="14"/>
      <c r="G149" s="120" t="e">
        <f>VLOOKUP($B149,Information!$C$8:$F$15,4,FALSE)</f>
        <v>#N/A</v>
      </c>
      <c r="H149" s="210" t="str">
        <f>TEXT(A149,"ddd")</f>
        <v>Sat</v>
      </c>
    </row>
    <row r="150" spans="1:8" ht="13.8" customHeight="1" x14ac:dyDescent="0.25">
      <c r="A150" s="13"/>
      <c r="B150" s="14"/>
      <c r="C150" s="39"/>
      <c r="D150" s="39"/>
      <c r="E150" s="36" t="str">
        <f>IF(SUM(C150:D150)=0," ",SUM(C150:D150))</f>
        <v xml:space="preserve"> </v>
      </c>
      <c r="F150" s="14"/>
      <c r="G150" s="120" t="e">
        <f>VLOOKUP($B150,Information!$C$8:$F$15,4,FALSE)</f>
        <v>#N/A</v>
      </c>
      <c r="H150" s="210" t="str">
        <f>TEXT(A150,"ddd")</f>
        <v>Sat</v>
      </c>
    </row>
    <row r="151" spans="1:8" ht="13.8" customHeight="1" x14ac:dyDescent="0.3">
      <c r="A151" s="15"/>
      <c r="B151" s="14"/>
      <c r="C151" s="37"/>
      <c r="D151" s="37"/>
      <c r="E151" s="36" t="str">
        <f>IF(SUM(C151:D151)=0," ",SUM(C151:D151))</f>
        <v xml:space="preserve"> </v>
      </c>
      <c r="F151" s="18"/>
      <c r="G151" s="120" t="e">
        <f>VLOOKUP($B151,Information!$C$8:$F$15,4,FALSE)</f>
        <v>#N/A</v>
      </c>
      <c r="H151" s="210" t="str">
        <f>TEXT(A151,"ddd")</f>
        <v>Sat</v>
      </c>
    </row>
    <row r="152" spans="1:8" ht="13.8" customHeight="1" x14ac:dyDescent="0.25">
      <c r="A152" s="13"/>
      <c r="B152" s="14"/>
      <c r="C152" s="39"/>
      <c r="D152" s="39"/>
      <c r="E152" s="36" t="str">
        <f>IF(SUM(C152:D152)=0," ",SUM(C152:D152))</f>
        <v xml:space="preserve"> </v>
      </c>
      <c r="F152" s="14"/>
      <c r="G152" s="120" t="e">
        <f>VLOOKUP($B152,Information!$C$8:$F$15,4,FALSE)</f>
        <v>#N/A</v>
      </c>
      <c r="H152" s="210" t="str">
        <f>TEXT(A152,"ddd")</f>
        <v>Sat</v>
      </c>
    </row>
    <row r="153" spans="1:8" ht="13.8" customHeight="1" x14ac:dyDescent="0.3">
      <c r="A153" s="15"/>
      <c r="B153" s="14"/>
      <c r="C153" s="37"/>
      <c r="D153" s="37"/>
      <c r="E153" s="36" t="str">
        <f>IF(SUM(C153:D153)=0," ",SUM(C153:D153))</f>
        <v xml:space="preserve"> </v>
      </c>
      <c r="F153" s="18"/>
      <c r="G153" s="120" t="e">
        <f>VLOOKUP($B153,Information!$C$8:$F$15,4,FALSE)</f>
        <v>#N/A</v>
      </c>
      <c r="H153" s="210" t="str">
        <f>TEXT(A153,"ddd")</f>
        <v>Sat</v>
      </c>
    </row>
    <row r="154" spans="1:8" ht="13.8" customHeight="1" x14ac:dyDescent="0.3">
      <c r="A154" s="15"/>
      <c r="B154" s="14"/>
      <c r="C154" s="37"/>
      <c r="D154" s="37"/>
      <c r="E154" s="36" t="str">
        <f>IF(SUM(C154:D154)=0," ",SUM(C154:D154))</f>
        <v xml:space="preserve"> </v>
      </c>
      <c r="F154" s="18"/>
      <c r="G154" s="120" t="e">
        <f>VLOOKUP($B154,Information!$C$8:$F$15,4,FALSE)</f>
        <v>#N/A</v>
      </c>
      <c r="H154" s="210" t="str">
        <f>TEXT(A154,"ddd")</f>
        <v>Sat</v>
      </c>
    </row>
    <row r="155" spans="1:8" x14ac:dyDescent="0.25">
      <c r="A155" s="13"/>
      <c r="B155" s="14"/>
      <c r="C155" s="39"/>
      <c r="D155" s="39"/>
      <c r="E155" s="36" t="str">
        <f>IF(SUM(C155:D155)=0," ",SUM(C155:D155))</f>
        <v xml:space="preserve"> </v>
      </c>
      <c r="F155" s="14"/>
      <c r="G155" s="120" t="e">
        <f>VLOOKUP($B155,Information!$C$8:$F$15,4,FALSE)</f>
        <v>#N/A</v>
      </c>
      <c r="H155" s="210" t="str">
        <f>TEXT(A155,"ddd")</f>
        <v>Sat</v>
      </c>
    </row>
    <row r="156" spans="1:8" ht="13.8" customHeight="1" x14ac:dyDescent="0.3">
      <c r="A156" s="15"/>
      <c r="B156" s="14"/>
      <c r="C156" s="37"/>
      <c r="D156" s="37"/>
      <c r="E156" s="36" t="str">
        <f>IF(SUM(C156:D156)=0," ",SUM(C156:D156))</f>
        <v xml:space="preserve"> </v>
      </c>
      <c r="F156" s="18"/>
      <c r="G156" s="120" t="e">
        <f>VLOOKUP($B156,Information!$C$8:$F$15,4,FALSE)</f>
        <v>#N/A</v>
      </c>
      <c r="H156" s="210" t="str">
        <f>TEXT(A156,"ddd")</f>
        <v>Sat</v>
      </c>
    </row>
    <row r="157" spans="1:8" ht="13.8" customHeight="1" x14ac:dyDescent="0.3">
      <c r="A157" s="15"/>
      <c r="B157" s="14"/>
      <c r="C157" s="37"/>
      <c r="D157" s="37"/>
      <c r="E157" s="36" t="str">
        <f>IF(SUM(C157:D157)=0," ",SUM(C157:D157))</f>
        <v xml:space="preserve"> </v>
      </c>
      <c r="F157" s="18"/>
      <c r="G157" s="120" t="e">
        <f>VLOOKUP($B157,Information!$C$8:$F$15,4,FALSE)</f>
        <v>#N/A</v>
      </c>
      <c r="H157" s="210" t="str">
        <f>TEXT(A157,"ddd")</f>
        <v>Sat</v>
      </c>
    </row>
    <row r="158" spans="1:8" x14ac:dyDescent="0.25">
      <c r="A158" s="13"/>
      <c r="B158" s="14"/>
      <c r="C158" s="39"/>
      <c r="D158" s="39"/>
      <c r="E158" s="36" t="str">
        <f>IF(SUM(C158:D158)=0," ",SUM(C158:D158))</f>
        <v xml:space="preserve"> </v>
      </c>
      <c r="F158" s="14"/>
      <c r="G158" s="120" t="e">
        <f>VLOOKUP($B158,Information!$C$8:$F$15,4,FALSE)</f>
        <v>#N/A</v>
      </c>
      <c r="H158" s="210" t="str">
        <f>TEXT(A158,"ddd")</f>
        <v>Sat</v>
      </c>
    </row>
    <row r="159" spans="1:8" x14ac:dyDescent="0.25">
      <c r="A159" s="13"/>
      <c r="B159" s="14"/>
      <c r="C159" s="39"/>
      <c r="D159" s="39"/>
      <c r="E159" s="36" t="str">
        <f>IF(SUM(C159:D159)=0," ",SUM(C159:D159))</f>
        <v xml:space="preserve"> </v>
      </c>
      <c r="F159" s="14"/>
      <c r="G159" s="120" t="e">
        <f>VLOOKUP($B159,Information!$C$8:$F$15,4,FALSE)</f>
        <v>#N/A</v>
      </c>
      <c r="H159" s="210" t="str">
        <f>TEXT(A159,"ddd")</f>
        <v>Sat</v>
      </c>
    </row>
    <row r="160" spans="1:8" ht="13.8" customHeight="1" x14ac:dyDescent="0.25">
      <c r="A160" s="13"/>
      <c r="B160" s="14"/>
      <c r="C160" s="39"/>
      <c r="D160" s="39"/>
      <c r="E160" s="36" t="str">
        <f>IF(SUM(C160:D160)=0," ",SUM(C160:D160))</f>
        <v xml:space="preserve"> </v>
      </c>
      <c r="F160" s="14"/>
      <c r="G160" s="120" t="e">
        <f>VLOOKUP($B160,Information!$C$8:$F$15,4,FALSE)</f>
        <v>#N/A</v>
      </c>
      <c r="H160" s="210" t="str">
        <f>TEXT(A160,"ddd")</f>
        <v>Sat</v>
      </c>
    </row>
    <row r="161" spans="1:8" ht="13.8" customHeight="1" x14ac:dyDescent="0.25">
      <c r="A161" s="13"/>
      <c r="B161" s="14"/>
      <c r="C161" s="39"/>
      <c r="D161" s="39"/>
      <c r="E161" s="36" t="str">
        <f>IF(SUM(C161:D161)=0," ",SUM(C161:D161))</f>
        <v xml:space="preserve"> </v>
      </c>
      <c r="F161" s="14"/>
      <c r="G161" s="120" t="e">
        <f>VLOOKUP($B161,Information!$C$8:$F$15,4,FALSE)</f>
        <v>#N/A</v>
      </c>
      <c r="H161" s="210" t="str">
        <f>TEXT(A161,"ddd")</f>
        <v>Sat</v>
      </c>
    </row>
    <row r="162" spans="1:8" ht="13.8" customHeight="1" x14ac:dyDescent="0.25">
      <c r="A162" s="13"/>
      <c r="B162" s="14"/>
      <c r="C162" s="39"/>
      <c r="D162" s="39"/>
      <c r="E162" s="36" t="str">
        <f>IF(SUM(C162:D162)=0," ",SUM(C162:D162))</f>
        <v xml:space="preserve"> </v>
      </c>
      <c r="F162" s="14"/>
      <c r="G162" s="120" t="e">
        <f>VLOOKUP($B162,Information!$C$8:$F$15,4,FALSE)</f>
        <v>#N/A</v>
      </c>
      <c r="H162" s="210" t="str">
        <f>TEXT(A162,"ddd")</f>
        <v>Sat</v>
      </c>
    </row>
    <row r="163" spans="1:8" ht="13.8" customHeight="1" x14ac:dyDescent="0.3">
      <c r="A163" s="15"/>
      <c r="B163" s="14"/>
      <c r="C163" s="37"/>
      <c r="D163" s="37"/>
      <c r="E163" s="36" t="str">
        <f>IF(SUM(C163:D163)=0," ",SUM(C163:D163))</f>
        <v xml:space="preserve"> </v>
      </c>
      <c r="F163" s="18"/>
      <c r="G163" s="120" t="e">
        <f>VLOOKUP($B163,Information!$C$8:$F$15,4,FALSE)</f>
        <v>#N/A</v>
      </c>
      <c r="H163" s="210" t="str">
        <f>TEXT(A163,"ddd")</f>
        <v>Sat</v>
      </c>
    </row>
    <row r="164" spans="1:8" ht="13.8" customHeight="1" x14ac:dyDescent="0.25">
      <c r="A164" s="13"/>
      <c r="B164" s="14"/>
      <c r="C164" s="39"/>
      <c r="D164" s="39"/>
      <c r="E164" s="36" t="str">
        <f>IF(SUM(C164:D164)=0," ",SUM(C164:D164))</f>
        <v xml:space="preserve"> </v>
      </c>
      <c r="F164" s="14"/>
      <c r="G164" s="120" t="e">
        <f>VLOOKUP($B164,Information!$C$8:$F$15,4,FALSE)</f>
        <v>#N/A</v>
      </c>
      <c r="H164" s="210" t="str">
        <f>TEXT(A164,"ddd")</f>
        <v>Sat</v>
      </c>
    </row>
    <row r="165" spans="1:8" ht="13.8" customHeight="1" x14ac:dyDescent="0.25">
      <c r="A165" s="13"/>
      <c r="B165" s="14"/>
      <c r="C165" s="39"/>
      <c r="D165" s="39"/>
      <c r="E165" s="36" t="str">
        <f>IF(SUM(C165:D165)=0," ",SUM(C165:D165))</f>
        <v xml:space="preserve"> </v>
      </c>
      <c r="F165" s="14"/>
      <c r="G165" s="120" t="e">
        <f>VLOOKUP($B165,Information!$C$8:$F$15,4,FALSE)</f>
        <v>#N/A</v>
      </c>
      <c r="H165" s="210" t="str">
        <f>TEXT(A165,"ddd")</f>
        <v>Sat</v>
      </c>
    </row>
    <row r="166" spans="1:8" ht="13.8" customHeight="1" x14ac:dyDescent="0.25">
      <c r="A166" s="13"/>
      <c r="B166" s="14"/>
      <c r="C166" s="39"/>
      <c r="D166" s="39"/>
      <c r="E166" s="36" t="str">
        <f>IF(SUM(C166:D166)=0," ",SUM(C166:D166))</f>
        <v xml:space="preserve"> </v>
      </c>
      <c r="F166" s="14"/>
      <c r="G166" s="120" t="e">
        <f>VLOOKUP($B166,Information!$C$8:$F$15,4,FALSE)</f>
        <v>#N/A</v>
      </c>
      <c r="H166" s="210" t="str">
        <f>TEXT(A166,"ddd")</f>
        <v>Sat</v>
      </c>
    </row>
    <row r="167" spans="1:8" x14ac:dyDescent="0.25">
      <c r="A167" s="13"/>
      <c r="B167" s="14"/>
      <c r="C167" s="39"/>
      <c r="D167" s="39"/>
      <c r="E167" s="36" t="str">
        <f>IF(SUM(C167:D167)=0," ",SUM(C167:D167))</f>
        <v xml:space="preserve"> </v>
      </c>
      <c r="F167" s="14"/>
      <c r="G167" s="120" t="e">
        <f>VLOOKUP($B167,Information!$C$8:$F$15,4,FALSE)</f>
        <v>#N/A</v>
      </c>
      <c r="H167" s="210" t="str">
        <f>TEXT(A167,"ddd")</f>
        <v>Sat</v>
      </c>
    </row>
    <row r="168" spans="1:8" x14ac:dyDescent="0.25">
      <c r="A168" s="13"/>
      <c r="B168" s="14"/>
      <c r="C168" s="39"/>
      <c r="D168" s="39"/>
      <c r="E168" s="36" t="str">
        <f>IF(SUM(C168:D168)=0," ",SUM(C168:D168))</f>
        <v xml:space="preserve"> </v>
      </c>
      <c r="F168" s="14"/>
      <c r="G168" s="120" t="e">
        <f>VLOOKUP($B168,Information!$C$8:$F$15,4,FALSE)</f>
        <v>#N/A</v>
      </c>
      <c r="H168" s="210" t="str">
        <f>TEXT(A168,"ddd")</f>
        <v>Sat</v>
      </c>
    </row>
    <row r="169" spans="1:8" x14ac:dyDescent="0.25">
      <c r="A169" s="13"/>
      <c r="B169" s="14"/>
      <c r="C169" s="39"/>
      <c r="D169" s="39"/>
      <c r="E169" s="36" t="str">
        <f>IF(SUM(C169:D169)=0," ",SUM(C169:D169))</f>
        <v xml:space="preserve"> </v>
      </c>
      <c r="F169" s="14"/>
      <c r="G169" s="120" t="e">
        <f>VLOOKUP($B169,Information!$C$8:$F$15,4,FALSE)</f>
        <v>#N/A</v>
      </c>
      <c r="H169" s="210" t="str">
        <f>TEXT(A169,"ddd")</f>
        <v>Sat</v>
      </c>
    </row>
    <row r="170" spans="1:8" x14ac:dyDescent="0.25">
      <c r="A170" s="13"/>
      <c r="B170" s="14"/>
      <c r="C170" s="39"/>
      <c r="D170" s="39"/>
      <c r="E170" s="36" t="str">
        <f>IF(SUM(C170:D170)=0," ",SUM(C170:D170))</f>
        <v xml:space="preserve"> </v>
      </c>
      <c r="F170" s="14"/>
      <c r="G170" s="120" t="e">
        <f>VLOOKUP($B170,Information!$C$8:$F$15,4,FALSE)</f>
        <v>#N/A</v>
      </c>
      <c r="H170" s="210" t="str">
        <f>TEXT(A170,"ddd")</f>
        <v>Sat</v>
      </c>
    </row>
    <row r="171" spans="1:8" ht="13.8" customHeight="1" x14ac:dyDescent="0.25">
      <c r="A171" s="13"/>
      <c r="B171" s="14"/>
      <c r="C171" s="39"/>
      <c r="D171" s="39"/>
      <c r="E171" s="36" t="str">
        <f>IF(SUM(C171:D171)=0," ",SUM(C171:D171))</f>
        <v xml:space="preserve"> </v>
      </c>
      <c r="F171" s="14"/>
      <c r="G171" s="120" t="e">
        <f>VLOOKUP($B171,Information!$C$8:$F$15,4,FALSE)</f>
        <v>#N/A</v>
      </c>
      <c r="H171" s="210" t="str">
        <f>TEXT(A171,"ddd")</f>
        <v>Sat</v>
      </c>
    </row>
    <row r="172" spans="1:8" ht="13.8" customHeight="1" x14ac:dyDescent="0.25">
      <c r="A172" s="13"/>
      <c r="B172" s="14"/>
      <c r="C172" s="39"/>
      <c r="D172" s="39"/>
      <c r="E172" s="36" t="str">
        <f>IF(SUM(C172:D172)=0," ",SUM(C172:D172))</f>
        <v xml:space="preserve"> </v>
      </c>
      <c r="F172" s="14"/>
      <c r="G172" s="120" t="e">
        <f>VLOOKUP($B172,Information!$C$8:$F$15,4,FALSE)</f>
        <v>#N/A</v>
      </c>
      <c r="H172" s="210" t="str">
        <f>TEXT(A172,"ddd")</f>
        <v>Sat</v>
      </c>
    </row>
    <row r="173" spans="1:8" ht="13.8" customHeight="1" x14ac:dyDescent="0.25">
      <c r="A173" s="13"/>
      <c r="B173" s="14"/>
      <c r="C173" s="39"/>
      <c r="D173" s="39"/>
      <c r="E173" s="36" t="str">
        <f>IF(SUM(C173:D173)=0," ",SUM(C173:D173))</f>
        <v xml:space="preserve"> </v>
      </c>
      <c r="F173" s="14"/>
      <c r="G173" s="120" t="e">
        <f>VLOOKUP($B173,Information!$C$8:$F$15,4,FALSE)</f>
        <v>#N/A</v>
      </c>
      <c r="H173" s="210" t="str">
        <f>TEXT(A173,"ddd")</f>
        <v>Sat</v>
      </c>
    </row>
    <row r="174" spans="1:8" ht="13.8" customHeight="1" x14ac:dyDescent="0.25">
      <c r="A174" s="13"/>
      <c r="B174" s="14"/>
      <c r="C174" s="39"/>
      <c r="D174" s="39"/>
      <c r="E174" s="36" t="str">
        <f>IF(SUM(C174:D174)=0," ",SUM(C174:D174))</f>
        <v xml:space="preserve"> </v>
      </c>
      <c r="F174" s="14"/>
      <c r="G174" s="120" t="e">
        <f>VLOOKUP($B174,Information!$C$8:$F$15,4,FALSE)</f>
        <v>#N/A</v>
      </c>
      <c r="H174" s="210" t="str">
        <f>TEXT(A174,"ddd")</f>
        <v>Sat</v>
      </c>
    </row>
    <row r="175" spans="1:8" ht="13.8" customHeight="1" x14ac:dyDescent="0.25">
      <c r="A175" s="13"/>
      <c r="B175" s="14"/>
      <c r="C175" s="39"/>
      <c r="D175" s="39"/>
      <c r="E175" s="36" t="str">
        <f>IF(SUM(C175:D175)=0," ",SUM(C175:D175))</f>
        <v xml:space="preserve"> </v>
      </c>
      <c r="F175" s="14"/>
      <c r="G175" s="120" t="e">
        <f>VLOOKUP($B175,Information!$C$8:$F$15,4,FALSE)</f>
        <v>#N/A</v>
      </c>
      <c r="H175" s="210" t="str">
        <f>TEXT(A175,"ddd")</f>
        <v>Sat</v>
      </c>
    </row>
    <row r="176" spans="1:8" x14ac:dyDescent="0.25">
      <c r="A176" s="13"/>
      <c r="B176" s="14"/>
      <c r="C176" s="39"/>
      <c r="D176" s="39"/>
      <c r="E176" s="36" t="str">
        <f>IF(SUM(C176:D176)=0," ",SUM(C176:D176))</f>
        <v xml:space="preserve"> </v>
      </c>
      <c r="F176" s="14"/>
      <c r="G176" s="120" t="e">
        <f>VLOOKUP($B176,Information!$C$8:$F$15,4,FALSE)</f>
        <v>#N/A</v>
      </c>
      <c r="H176" s="210" t="str">
        <f>TEXT(A176,"ddd")</f>
        <v>Sat</v>
      </c>
    </row>
    <row r="177" spans="1:8" ht="13.8" customHeight="1" x14ac:dyDescent="0.25">
      <c r="A177" s="13"/>
      <c r="B177" s="14"/>
      <c r="C177" s="39"/>
      <c r="D177" s="39"/>
      <c r="E177" s="36" t="str">
        <f>IF(SUM(C177:D177)=0," ",SUM(C177:D177))</f>
        <v xml:space="preserve"> </v>
      </c>
      <c r="F177" s="14"/>
      <c r="G177" s="120" t="e">
        <f>VLOOKUP($B177,Information!$C$8:$F$15,4,FALSE)</f>
        <v>#N/A</v>
      </c>
      <c r="H177" s="210" t="str">
        <f>TEXT(A177,"ddd")</f>
        <v>Sat</v>
      </c>
    </row>
    <row r="178" spans="1:8" ht="13.8" customHeight="1" x14ac:dyDescent="0.25">
      <c r="A178" s="13"/>
      <c r="B178" s="14"/>
      <c r="C178" s="39"/>
      <c r="D178" s="39"/>
      <c r="E178" s="36" t="str">
        <f>IF(SUM(C178:D178)=0," ",SUM(C178:D178))</f>
        <v xml:space="preserve"> </v>
      </c>
      <c r="F178" s="14"/>
      <c r="G178" s="120" t="e">
        <f>VLOOKUP($B178,Information!$C$8:$F$15,4,FALSE)</f>
        <v>#N/A</v>
      </c>
      <c r="H178" s="210" t="str">
        <f>TEXT(A178,"ddd")</f>
        <v>Sat</v>
      </c>
    </row>
    <row r="179" spans="1:8" ht="13.8" customHeight="1" x14ac:dyDescent="0.25">
      <c r="A179" s="13"/>
      <c r="B179" s="14"/>
      <c r="C179" s="39"/>
      <c r="D179" s="39"/>
      <c r="E179" s="36" t="str">
        <f>IF(SUM(C179:D179)=0," ",SUM(C179:D179))</f>
        <v xml:space="preserve"> </v>
      </c>
      <c r="F179" s="14"/>
      <c r="G179" s="120" t="e">
        <f>VLOOKUP($B179,Information!$C$8:$F$15,4,FALSE)</f>
        <v>#N/A</v>
      </c>
      <c r="H179" s="210" t="str">
        <f>TEXT(A179,"ddd")</f>
        <v>Sat</v>
      </c>
    </row>
    <row r="180" spans="1:8" ht="13.8" customHeight="1" x14ac:dyDescent="0.25">
      <c r="A180" s="13"/>
      <c r="B180" s="14"/>
      <c r="C180" s="39"/>
      <c r="D180" s="39"/>
      <c r="E180" s="36" t="str">
        <f>IF(SUM(C180:D180)=0," ",SUM(C180:D180))</f>
        <v xml:space="preserve"> </v>
      </c>
      <c r="F180" s="14"/>
      <c r="G180" s="120" t="e">
        <f>VLOOKUP($B180,Information!$C$8:$F$15,4,FALSE)</f>
        <v>#N/A</v>
      </c>
      <c r="H180" s="210" t="str">
        <f>TEXT(A180,"ddd")</f>
        <v>Sat</v>
      </c>
    </row>
    <row r="181" spans="1:8" ht="13.8" customHeight="1" x14ac:dyDescent="0.25">
      <c r="A181" s="13"/>
      <c r="B181" s="14"/>
      <c r="C181" s="39"/>
      <c r="D181" s="39"/>
      <c r="E181" s="36" t="str">
        <f>IF(SUM(C181:D181)=0," ",SUM(C181:D181))</f>
        <v xml:space="preserve"> </v>
      </c>
      <c r="F181" s="14"/>
      <c r="G181" s="120" t="e">
        <f>VLOOKUP($B181,Information!$C$8:$F$15,4,FALSE)</f>
        <v>#N/A</v>
      </c>
      <c r="H181" s="210" t="str">
        <f>TEXT(A181,"ddd")</f>
        <v>Sat</v>
      </c>
    </row>
    <row r="182" spans="1:8" ht="13.8" customHeight="1" x14ac:dyDescent="0.25">
      <c r="A182" s="13"/>
      <c r="B182" s="14"/>
      <c r="C182" s="39"/>
      <c r="D182" s="39"/>
      <c r="E182" s="36" t="str">
        <f>IF(SUM(C182:D182)=0," ",SUM(C182:D182))</f>
        <v xml:space="preserve"> </v>
      </c>
      <c r="F182" s="14"/>
      <c r="G182" s="120" t="e">
        <f>VLOOKUP($B182,Information!$C$8:$F$15,4,FALSE)</f>
        <v>#N/A</v>
      </c>
      <c r="H182" s="210" t="str">
        <f>TEXT(A182,"ddd")</f>
        <v>Sat</v>
      </c>
    </row>
    <row r="183" spans="1:8" ht="13.8" customHeight="1" x14ac:dyDescent="0.25">
      <c r="A183" s="13"/>
      <c r="B183" s="14"/>
      <c r="C183" s="39"/>
      <c r="D183" s="39"/>
      <c r="E183" s="36" t="str">
        <f>IF(SUM(C183:D183)=0," ",SUM(C183:D183))</f>
        <v xml:space="preserve"> </v>
      </c>
      <c r="F183" s="14"/>
      <c r="G183" s="120" t="e">
        <f>VLOOKUP($B183,Information!$C$8:$F$15,4,FALSE)</f>
        <v>#N/A</v>
      </c>
      <c r="H183" s="210" t="str">
        <f>TEXT(A183,"ddd")</f>
        <v>Sat</v>
      </c>
    </row>
    <row r="184" spans="1:8" ht="13.8" customHeight="1" x14ac:dyDescent="0.25">
      <c r="A184" s="15"/>
      <c r="B184" s="14"/>
      <c r="C184" s="37"/>
      <c r="D184" s="37"/>
      <c r="E184" s="36" t="str">
        <f>IF(SUM(C184:D184)=0," ",SUM(C184:D184))</f>
        <v xml:space="preserve"> </v>
      </c>
      <c r="F184" s="17"/>
      <c r="G184" s="120" t="e">
        <f>VLOOKUP($B184,Information!$C$8:$F$15,4,FALSE)</f>
        <v>#N/A</v>
      </c>
      <c r="H184" s="210" t="str">
        <f>TEXT(A184,"ddd")</f>
        <v>Sat</v>
      </c>
    </row>
    <row r="185" spans="1:8" ht="13.8" customHeight="1" x14ac:dyDescent="0.25">
      <c r="A185" s="13"/>
      <c r="B185" s="14"/>
      <c r="C185" s="39"/>
      <c r="D185" s="39"/>
      <c r="E185" s="36" t="str">
        <f>IF(SUM(C185:D185)=0," ",SUM(C185:D185))</f>
        <v xml:space="preserve"> </v>
      </c>
      <c r="F185" s="14"/>
      <c r="G185" s="120" t="e">
        <f>VLOOKUP($B185,Information!$C$8:$F$15,4,FALSE)</f>
        <v>#N/A</v>
      </c>
      <c r="H185" s="210" t="str">
        <f>TEXT(A185,"ddd")</f>
        <v>Sat</v>
      </c>
    </row>
    <row r="186" spans="1:8" ht="13.8" customHeight="1" x14ac:dyDescent="0.25">
      <c r="A186" s="13"/>
      <c r="B186" s="14"/>
      <c r="C186" s="39"/>
      <c r="D186" s="39"/>
      <c r="E186" s="36" t="str">
        <f>IF(SUM(C186:D186)=0," ",SUM(C186:D186))</f>
        <v xml:space="preserve"> </v>
      </c>
      <c r="F186" s="14"/>
      <c r="G186" s="120" t="e">
        <f>VLOOKUP($B186,Information!$C$8:$F$15,4,FALSE)</f>
        <v>#N/A</v>
      </c>
      <c r="H186" s="210" t="str">
        <f>TEXT(A186,"ddd")</f>
        <v>Sat</v>
      </c>
    </row>
    <row r="187" spans="1:8" ht="13.8" customHeight="1" x14ac:dyDescent="0.25">
      <c r="A187" s="13"/>
      <c r="B187" s="14"/>
      <c r="C187" s="39"/>
      <c r="D187" s="39"/>
      <c r="E187" s="36" t="str">
        <f>IF(SUM(C187:D187)=0," ",SUM(C187:D187))</f>
        <v xml:space="preserve"> </v>
      </c>
      <c r="F187" s="14"/>
      <c r="G187" s="120" t="e">
        <f>VLOOKUP($B187,Information!$C$8:$F$15,4,FALSE)</f>
        <v>#N/A</v>
      </c>
      <c r="H187" s="210" t="str">
        <f>TEXT(A187,"ddd")</f>
        <v>Sat</v>
      </c>
    </row>
    <row r="188" spans="1:8" ht="13.8" customHeight="1" x14ac:dyDescent="0.25">
      <c r="A188" s="13"/>
      <c r="B188" s="14"/>
      <c r="C188" s="39"/>
      <c r="D188" s="39"/>
      <c r="E188" s="36" t="str">
        <f>IF(SUM(C188:D188)=0," ",SUM(C188:D188))</f>
        <v xml:space="preserve"> </v>
      </c>
      <c r="F188" s="14"/>
      <c r="G188" s="120" t="e">
        <f>VLOOKUP($B188,Information!$C$8:$F$15,4,FALSE)</f>
        <v>#N/A</v>
      </c>
      <c r="H188" s="210" t="str">
        <f>TEXT(A188,"ddd")</f>
        <v>Sat</v>
      </c>
    </row>
    <row r="189" spans="1:8" ht="13.8" customHeight="1" x14ac:dyDescent="0.25">
      <c r="A189" s="13"/>
      <c r="B189" s="14"/>
      <c r="C189" s="39"/>
      <c r="D189" s="39"/>
      <c r="E189" s="36" t="str">
        <f>IF(SUM(C189:D189)=0," ",SUM(C189:D189))</f>
        <v xml:space="preserve"> </v>
      </c>
      <c r="F189" s="14"/>
      <c r="G189" s="120" t="e">
        <f>VLOOKUP($B189,Information!$C$8:$F$15,4,FALSE)</f>
        <v>#N/A</v>
      </c>
      <c r="H189" s="210" t="str">
        <f>TEXT(A189,"ddd")</f>
        <v>Sat</v>
      </c>
    </row>
    <row r="190" spans="1:8" ht="13.8" customHeight="1" x14ac:dyDescent="0.25">
      <c r="A190" s="13"/>
      <c r="B190" s="14"/>
      <c r="C190" s="39"/>
      <c r="D190" s="39"/>
      <c r="E190" s="36" t="str">
        <f>IF(SUM(C190:D190)=0," ",SUM(C190:D190))</f>
        <v xml:space="preserve"> </v>
      </c>
      <c r="F190" s="14"/>
      <c r="G190" s="120" t="e">
        <f>VLOOKUP($B190,Information!$C$8:$F$15,4,FALSE)</f>
        <v>#N/A</v>
      </c>
      <c r="H190" s="210" t="str">
        <f>TEXT(A190,"ddd")</f>
        <v>Sat</v>
      </c>
    </row>
    <row r="191" spans="1:8" ht="13.8" customHeight="1" x14ac:dyDescent="0.25">
      <c r="A191" s="13"/>
      <c r="B191" s="14"/>
      <c r="C191" s="39"/>
      <c r="D191" s="39"/>
      <c r="E191" s="36" t="str">
        <f>IF(SUM(C191:D191)=0," ",SUM(C191:D191))</f>
        <v xml:space="preserve"> </v>
      </c>
      <c r="F191" s="14"/>
      <c r="G191" s="120" t="e">
        <f>VLOOKUP($B191,Information!$C$8:$F$15,4,FALSE)</f>
        <v>#N/A</v>
      </c>
      <c r="H191" s="210" t="str">
        <f>TEXT(A191,"ddd")</f>
        <v>Sat</v>
      </c>
    </row>
    <row r="192" spans="1:8" ht="13.8" customHeight="1" x14ac:dyDescent="0.25">
      <c r="A192" s="13"/>
      <c r="B192" s="14"/>
      <c r="C192" s="39"/>
      <c r="D192" s="39"/>
      <c r="E192" s="36" t="str">
        <f>IF(SUM(C192:D192)=0," ",SUM(C192:D192))</f>
        <v xml:space="preserve"> </v>
      </c>
      <c r="F192" s="14"/>
      <c r="G192" s="120" t="e">
        <f>VLOOKUP($B192,Information!$C$8:$F$15,4,FALSE)</f>
        <v>#N/A</v>
      </c>
      <c r="H192" s="210" t="str">
        <f>TEXT(A192,"ddd")</f>
        <v>Sat</v>
      </c>
    </row>
    <row r="193" spans="1:8" x14ac:dyDescent="0.25">
      <c r="A193" s="13"/>
      <c r="B193" s="14"/>
      <c r="C193" s="39"/>
      <c r="D193" s="39"/>
      <c r="E193" s="36" t="str">
        <f>IF(SUM(C193:D193)=0," ",SUM(C193:D193))</f>
        <v xml:space="preserve"> </v>
      </c>
      <c r="F193" s="14"/>
      <c r="G193" s="120" t="e">
        <f>VLOOKUP($B193,Information!$C$8:$F$15,4,FALSE)</f>
        <v>#N/A</v>
      </c>
      <c r="H193" s="210" t="str">
        <f>TEXT(A193,"ddd")</f>
        <v>Sat</v>
      </c>
    </row>
    <row r="194" spans="1:8" x14ac:dyDescent="0.25">
      <c r="A194" s="13"/>
      <c r="B194" s="14"/>
      <c r="C194" s="39"/>
      <c r="D194" s="39"/>
      <c r="E194" s="36" t="str">
        <f>IF(SUM(C194:D194)=0," ",SUM(C194:D194))</f>
        <v xml:space="preserve"> </v>
      </c>
      <c r="F194" s="14"/>
      <c r="G194" s="120" t="e">
        <f>VLOOKUP($B194,Information!$C$8:$F$15,4,FALSE)</f>
        <v>#N/A</v>
      </c>
      <c r="H194" s="210" t="str">
        <f>TEXT(A194,"ddd")</f>
        <v>Sat</v>
      </c>
    </row>
    <row r="195" spans="1:8" x14ac:dyDescent="0.25">
      <c r="A195" s="15"/>
      <c r="B195" s="14"/>
      <c r="C195" s="37"/>
      <c r="D195" s="37"/>
      <c r="E195" s="36" t="str">
        <f>IF(SUM(C195:D195)=0," ",SUM(C195:D195))</f>
        <v xml:space="preserve"> </v>
      </c>
      <c r="F195" s="17"/>
      <c r="G195" s="120" t="e">
        <f>VLOOKUP($B195,Information!$C$8:$F$15,4,FALSE)</f>
        <v>#N/A</v>
      </c>
      <c r="H195" s="210" t="str">
        <f>TEXT(A195,"ddd")</f>
        <v>Sat</v>
      </c>
    </row>
    <row r="196" spans="1:8" ht="13.8" customHeight="1" x14ac:dyDescent="0.25">
      <c r="A196" s="13"/>
      <c r="B196" s="14"/>
      <c r="C196" s="39"/>
      <c r="D196" s="39"/>
      <c r="E196" s="36" t="str">
        <f>IF(SUM(C196:D196)=0," ",SUM(C196:D196))</f>
        <v xml:space="preserve"> </v>
      </c>
      <c r="F196" s="14"/>
      <c r="G196" s="120" t="e">
        <f>VLOOKUP($B196,Information!$C$8:$F$15,4,FALSE)</f>
        <v>#N/A</v>
      </c>
      <c r="H196" s="210" t="str">
        <f>TEXT(A196,"ddd")</f>
        <v>Sat</v>
      </c>
    </row>
    <row r="197" spans="1:8" ht="13.8" customHeight="1" x14ac:dyDescent="0.25">
      <c r="A197" s="143"/>
      <c r="B197" s="14"/>
      <c r="C197" s="37"/>
      <c r="D197" s="37"/>
      <c r="E197" s="36" t="str">
        <f>IF(SUM(C197:D197)=0," ",SUM(C197:D197))</f>
        <v xml:space="preserve"> </v>
      </c>
      <c r="F197" s="17"/>
      <c r="G197" s="120" t="e">
        <f>VLOOKUP($B197,Information!$C$8:$F$15,4,FALSE)</f>
        <v>#N/A</v>
      </c>
      <c r="H197" s="210" t="str">
        <f>TEXT(A197,"ddd")</f>
        <v>Sat</v>
      </c>
    </row>
    <row r="198" spans="1:8" x14ac:dyDescent="0.25">
      <c r="A198" s="13"/>
      <c r="B198" s="14"/>
      <c r="C198" s="39"/>
      <c r="D198" s="39"/>
      <c r="E198" s="36" t="str">
        <f>IF(SUM(C198:D198)=0," ",SUM(C198:D198))</f>
        <v xml:space="preserve"> </v>
      </c>
      <c r="F198" s="14"/>
      <c r="G198" s="120" t="e">
        <f>VLOOKUP($B198,Information!$C$8:$F$15,4,FALSE)</f>
        <v>#N/A</v>
      </c>
      <c r="H198" s="210" t="str">
        <f>TEXT(A198,"ddd")</f>
        <v>Sat</v>
      </c>
    </row>
    <row r="199" spans="1:8" ht="13.8" customHeight="1" x14ac:dyDescent="0.25">
      <c r="A199" s="15"/>
      <c r="B199" s="14"/>
      <c r="C199" s="37"/>
      <c r="D199" s="37"/>
      <c r="E199" s="36" t="str">
        <f>IF(SUM(C199:D199)=0," ",SUM(C199:D199))</f>
        <v xml:space="preserve"> </v>
      </c>
      <c r="F199" s="17"/>
      <c r="G199" s="120" t="e">
        <f>VLOOKUP($B199,Information!$C$8:$F$15,4,FALSE)</f>
        <v>#N/A</v>
      </c>
      <c r="H199" s="210" t="str">
        <f>TEXT(A199,"ddd")</f>
        <v>Sat</v>
      </c>
    </row>
    <row r="200" spans="1:8" ht="13.8" customHeight="1" x14ac:dyDescent="0.25">
      <c r="A200" s="13"/>
      <c r="B200" s="14"/>
      <c r="C200" s="39"/>
      <c r="D200" s="39"/>
      <c r="E200" s="36" t="str">
        <f>IF(SUM(C200:D200)=0," ",SUM(C200:D200))</f>
        <v xml:space="preserve"> </v>
      </c>
      <c r="F200" s="14"/>
      <c r="G200" s="120" t="e">
        <f>VLOOKUP($B200,Information!$C$8:$F$15,4,FALSE)</f>
        <v>#N/A</v>
      </c>
      <c r="H200" s="210" t="str">
        <f>TEXT(A200,"ddd")</f>
        <v>Sat</v>
      </c>
    </row>
    <row r="201" spans="1:8" x14ac:dyDescent="0.25">
      <c r="A201" s="13"/>
      <c r="B201" s="14"/>
      <c r="C201" s="39"/>
      <c r="D201" s="39"/>
      <c r="E201" s="36" t="str">
        <f>IF(SUM(C201:D201)=0," ",SUM(C201:D201))</f>
        <v xml:space="preserve"> </v>
      </c>
      <c r="F201" s="14"/>
      <c r="G201" s="120" t="e">
        <f>VLOOKUP($B201,Information!$C$8:$F$15,4,FALSE)</f>
        <v>#N/A</v>
      </c>
      <c r="H201" s="210" t="str">
        <f>TEXT(A201,"ddd")</f>
        <v>Sat</v>
      </c>
    </row>
    <row r="202" spans="1:8" x14ac:dyDescent="0.25">
      <c r="A202" s="13"/>
      <c r="B202" s="14"/>
      <c r="C202" s="39"/>
      <c r="D202" s="39"/>
      <c r="E202" s="36" t="str">
        <f>IF(SUM(C202:D202)=0," ",SUM(C202:D202))</f>
        <v xml:space="preserve"> </v>
      </c>
      <c r="F202" s="14"/>
      <c r="G202" s="120" t="e">
        <f>VLOOKUP($B202,Information!$C$8:$F$15,4,FALSE)</f>
        <v>#N/A</v>
      </c>
      <c r="H202" s="210" t="str">
        <f>TEXT(A202,"ddd")</f>
        <v>Sat</v>
      </c>
    </row>
    <row r="203" spans="1:8" x14ac:dyDescent="0.25">
      <c r="A203" s="13"/>
      <c r="B203" s="14"/>
      <c r="C203" s="39"/>
      <c r="D203" s="39"/>
      <c r="E203" s="36" t="str">
        <f>IF(SUM(C203:D203)=0," ",SUM(C203:D203))</f>
        <v xml:space="preserve"> </v>
      </c>
      <c r="F203" s="14"/>
      <c r="G203" s="120" t="e">
        <f>VLOOKUP($B203,Information!$C$8:$F$15,4,FALSE)</f>
        <v>#N/A</v>
      </c>
      <c r="H203" s="210" t="str">
        <f>TEXT(A203,"ddd")</f>
        <v>Sat</v>
      </c>
    </row>
    <row r="204" spans="1:8" x14ac:dyDescent="0.25">
      <c r="A204" s="13"/>
      <c r="B204" s="14"/>
      <c r="C204" s="39"/>
      <c r="D204" s="39"/>
      <c r="E204" s="36" t="str">
        <f>IF(SUM(C204:D204)=0," ",SUM(C204:D204))</f>
        <v xml:space="preserve"> </v>
      </c>
      <c r="F204" s="14"/>
      <c r="G204" s="120" t="e">
        <f>VLOOKUP($B204,Information!$C$8:$F$15,4,FALSE)</f>
        <v>#N/A</v>
      </c>
      <c r="H204" s="210" t="str">
        <f>TEXT(A204,"ddd")</f>
        <v>Sat</v>
      </c>
    </row>
    <row r="205" spans="1:8" ht="13.8" customHeight="1" x14ac:dyDescent="0.25">
      <c r="A205" s="13"/>
      <c r="B205" s="14"/>
      <c r="C205" s="39"/>
      <c r="D205" s="39"/>
      <c r="E205" s="36" t="str">
        <f>IF(SUM(C205:D205)=0," ",SUM(C205:D205))</f>
        <v xml:space="preserve"> </v>
      </c>
      <c r="F205" s="14"/>
      <c r="G205" s="120" t="e">
        <f>VLOOKUP($B205,Information!$C$8:$F$15,4,FALSE)</f>
        <v>#N/A</v>
      </c>
      <c r="H205" s="210" t="str">
        <f>TEXT(A205,"ddd")</f>
        <v>Sat</v>
      </c>
    </row>
    <row r="206" spans="1:8" ht="13.8" customHeight="1" x14ac:dyDescent="0.25">
      <c r="A206" s="13"/>
      <c r="B206" s="14"/>
      <c r="C206" s="39"/>
      <c r="D206" s="39"/>
      <c r="E206" s="36" t="str">
        <f>IF(SUM(C206:D206)=0," ",SUM(C206:D206))</f>
        <v xml:space="preserve"> </v>
      </c>
      <c r="F206" s="14"/>
      <c r="G206" s="120" t="e">
        <f>VLOOKUP($B206,Information!$C$8:$F$15,4,FALSE)</f>
        <v>#N/A</v>
      </c>
      <c r="H206" s="210" t="str">
        <f>TEXT(A206,"ddd")</f>
        <v>Sat</v>
      </c>
    </row>
    <row r="207" spans="1:8" x14ac:dyDescent="0.25">
      <c r="A207" s="13"/>
      <c r="B207" s="14"/>
      <c r="C207" s="39"/>
      <c r="D207" s="39"/>
      <c r="E207" s="36" t="str">
        <f>IF(SUM(C207:D207)=0," ",SUM(C207:D207))</f>
        <v xml:space="preserve"> </v>
      </c>
      <c r="F207" s="14"/>
      <c r="G207" s="120" t="e">
        <f>VLOOKUP($B207,Information!$C$8:$F$15,4,FALSE)</f>
        <v>#N/A</v>
      </c>
      <c r="H207" s="210" t="str">
        <f>TEXT(A207,"ddd")</f>
        <v>Sat</v>
      </c>
    </row>
    <row r="208" spans="1:8" ht="13.8" customHeight="1" x14ac:dyDescent="0.25">
      <c r="A208" s="13"/>
      <c r="B208" s="14"/>
      <c r="C208" s="39"/>
      <c r="D208" s="39"/>
      <c r="E208" s="36" t="str">
        <f>IF(SUM(C208:D208)=0," ",SUM(C208:D208))</f>
        <v xml:space="preserve"> </v>
      </c>
      <c r="F208" s="14"/>
      <c r="G208" s="120" t="e">
        <f>VLOOKUP($B208,Information!$C$8:$F$15,4,FALSE)</f>
        <v>#N/A</v>
      </c>
      <c r="H208" s="210" t="str">
        <f>TEXT(A208,"ddd")</f>
        <v>Sat</v>
      </c>
    </row>
    <row r="209" spans="1:8" x14ac:dyDescent="0.25">
      <c r="A209" s="13"/>
      <c r="B209" s="14"/>
      <c r="C209" s="39"/>
      <c r="D209" s="39"/>
      <c r="E209" s="36" t="str">
        <f>IF(SUM(C209:D209)=0," ",SUM(C209:D209))</f>
        <v xml:space="preserve"> </v>
      </c>
      <c r="F209" s="14"/>
      <c r="G209" s="120" t="e">
        <f>VLOOKUP($B209,Information!$C$8:$F$15,4,FALSE)</f>
        <v>#N/A</v>
      </c>
      <c r="H209" s="210" t="str">
        <f>TEXT(A209,"ddd")</f>
        <v>Sat</v>
      </c>
    </row>
    <row r="210" spans="1:8" ht="13.8" customHeight="1" x14ac:dyDescent="0.25">
      <c r="A210" s="13"/>
      <c r="B210" s="14"/>
      <c r="C210" s="39"/>
      <c r="D210" s="39"/>
      <c r="E210" s="36" t="str">
        <f>IF(SUM(C210:D210)=0," ",SUM(C210:D210))</f>
        <v xml:space="preserve"> </v>
      </c>
      <c r="F210" s="14"/>
      <c r="G210" s="120" t="e">
        <f>VLOOKUP($B210,Information!$C$8:$F$15,4,FALSE)</f>
        <v>#N/A</v>
      </c>
      <c r="H210" s="210" t="str">
        <f>TEXT(A210,"ddd")</f>
        <v>Sat</v>
      </c>
    </row>
    <row r="211" spans="1:8" ht="13.8" customHeight="1" x14ac:dyDescent="0.25">
      <c r="A211" s="13"/>
      <c r="B211" s="14"/>
      <c r="C211" s="39"/>
      <c r="D211" s="39"/>
      <c r="E211" s="36" t="str">
        <f>IF(SUM(C211:D211)=0," ",SUM(C211:D211))</f>
        <v xml:space="preserve"> </v>
      </c>
      <c r="F211" s="14"/>
      <c r="G211" s="120" t="e">
        <f>VLOOKUP($B211,Information!$C$8:$F$15,4,FALSE)</f>
        <v>#N/A</v>
      </c>
      <c r="H211" s="210" t="str">
        <f>TEXT(A211,"ddd")</f>
        <v>Sat</v>
      </c>
    </row>
    <row r="212" spans="1:8" x14ac:dyDescent="0.25">
      <c r="A212" s="13"/>
      <c r="B212" s="14"/>
      <c r="C212" s="39"/>
      <c r="D212" s="39"/>
      <c r="E212" s="36" t="str">
        <f>IF(SUM(C212:D212)=0," ",SUM(C212:D212))</f>
        <v xml:space="preserve"> </v>
      </c>
      <c r="F212" s="14"/>
      <c r="G212" s="120" t="e">
        <f>VLOOKUP($B212,Information!$C$8:$F$15,4,FALSE)</f>
        <v>#N/A</v>
      </c>
      <c r="H212" s="210" t="str">
        <f>TEXT(A212,"ddd")</f>
        <v>Sat</v>
      </c>
    </row>
    <row r="213" spans="1:8" x14ac:dyDescent="0.25">
      <c r="A213" s="13"/>
      <c r="B213" s="14"/>
      <c r="C213" s="39"/>
      <c r="D213" s="39"/>
      <c r="E213" s="36" t="str">
        <f>IF(SUM(C213:D213)=0," ",SUM(C213:D213))</f>
        <v xml:space="preserve"> </v>
      </c>
      <c r="F213" s="14"/>
      <c r="G213" s="120" t="e">
        <f>VLOOKUP($B213,Information!$C$8:$F$15,4,FALSE)</f>
        <v>#N/A</v>
      </c>
      <c r="H213" s="210" t="str">
        <f>TEXT(A213,"ddd")</f>
        <v>Sat</v>
      </c>
    </row>
    <row r="214" spans="1:8" x14ac:dyDescent="0.25">
      <c r="A214" s="13"/>
      <c r="B214" s="14"/>
      <c r="C214" s="39"/>
      <c r="D214" s="39"/>
      <c r="E214" s="36" t="str">
        <f>IF(SUM(C214:D214)=0," ",SUM(C214:D214))</f>
        <v xml:space="preserve"> </v>
      </c>
      <c r="F214" s="14"/>
      <c r="G214" s="120" t="e">
        <f>VLOOKUP($B214,Information!$C$8:$F$15,4,FALSE)</f>
        <v>#N/A</v>
      </c>
      <c r="H214" s="210" t="str">
        <f>TEXT(A214,"ddd")</f>
        <v>Sat</v>
      </c>
    </row>
    <row r="215" spans="1:8" ht="13.8" customHeight="1" x14ac:dyDescent="0.25">
      <c r="A215" s="13"/>
      <c r="B215" s="14"/>
      <c r="C215" s="39"/>
      <c r="D215" s="39"/>
      <c r="E215" s="36" t="str">
        <f>IF(SUM(C215:D215)=0," ",SUM(C215:D215))</f>
        <v xml:space="preserve"> </v>
      </c>
      <c r="F215" s="14"/>
      <c r="G215" s="120" t="e">
        <f>VLOOKUP($B215,Information!$C$8:$F$15,4,FALSE)</f>
        <v>#N/A</v>
      </c>
      <c r="H215" s="210" t="str">
        <f>TEXT(A215,"ddd")</f>
        <v>Sat</v>
      </c>
    </row>
    <row r="216" spans="1:8" ht="14.4" customHeight="1" x14ac:dyDescent="0.25">
      <c r="A216" s="13"/>
      <c r="B216" s="14"/>
      <c r="C216" s="39"/>
      <c r="D216" s="39"/>
      <c r="E216" s="36" t="str">
        <f>IF(SUM(C216:D216)=0," ",SUM(C216:D216))</f>
        <v xml:space="preserve"> </v>
      </c>
      <c r="F216" s="14"/>
      <c r="G216" s="120" t="e">
        <f>VLOOKUP($B216,Information!$C$8:$F$15,4,FALSE)</f>
        <v>#N/A</v>
      </c>
      <c r="H216" s="210" t="str">
        <f>TEXT(A216,"ddd")</f>
        <v>Sat</v>
      </c>
    </row>
    <row r="217" spans="1:8" ht="13.8" customHeight="1" x14ac:dyDescent="0.25">
      <c r="A217" s="13"/>
      <c r="B217" s="14"/>
      <c r="C217" s="39"/>
      <c r="D217" s="39"/>
      <c r="E217" s="36" t="str">
        <f>IF(SUM(C217:D217)=0," ",SUM(C217:D217))</f>
        <v xml:space="preserve"> </v>
      </c>
      <c r="F217" s="14"/>
      <c r="G217" s="120" t="e">
        <f>VLOOKUP($B217,Information!$C$8:$F$15,4,FALSE)</f>
        <v>#N/A</v>
      </c>
      <c r="H217" s="210" t="str">
        <f>TEXT(A217,"ddd")</f>
        <v>Sat</v>
      </c>
    </row>
    <row r="218" spans="1:8" ht="13.8" customHeight="1" x14ac:dyDescent="0.25">
      <c r="A218" s="15"/>
      <c r="B218" s="14"/>
      <c r="C218" s="37"/>
      <c r="D218" s="37"/>
      <c r="E218" s="36" t="str">
        <f>IF(SUM(C218:D218)=0," ",SUM(C218:D218))</f>
        <v xml:space="preserve"> </v>
      </c>
      <c r="F218" s="17"/>
      <c r="G218" s="120" t="e">
        <f>VLOOKUP($B218,Information!$C$8:$F$15,4,FALSE)</f>
        <v>#N/A</v>
      </c>
      <c r="H218" s="210" t="str">
        <f>TEXT(A218,"ddd")</f>
        <v>Sat</v>
      </c>
    </row>
    <row r="219" spans="1:8" ht="13.8" customHeight="1" x14ac:dyDescent="0.25">
      <c r="A219" s="13"/>
      <c r="B219" s="14"/>
      <c r="C219" s="39"/>
      <c r="D219" s="39"/>
      <c r="E219" s="36" t="str">
        <f>IF(SUM(C219:D219)=0," ",SUM(C219:D219))</f>
        <v xml:space="preserve"> </v>
      </c>
      <c r="F219" s="14"/>
      <c r="G219" s="120" t="e">
        <f>VLOOKUP($B219,Information!$C$8:$F$15,4,FALSE)</f>
        <v>#N/A</v>
      </c>
      <c r="H219" s="210" t="str">
        <f>TEXT(A219,"ddd")</f>
        <v>Sat</v>
      </c>
    </row>
    <row r="220" spans="1:8" ht="13.8" customHeight="1" x14ac:dyDescent="0.25">
      <c r="A220" s="13"/>
      <c r="B220" s="14"/>
      <c r="C220" s="39"/>
      <c r="D220" s="39"/>
      <c r="E220" s="36" t="str">
        <f>IF(SUM(C220:D220)=0," ",SUM(C220:D220))</f>
        <v xml:space="preserve"> </v>
      </c>
      <c r="F220" s="14"/>
      <c r="G220" s="120" t="e">
        <f>VLOOKUP($B220,Information!$C$8:$F$15,4,FALSE)</f>
        <v>#N/A</v>
      </c>
      <c r="H220" s="210" t="str">
        <f>TEXT(A220,"ddd")</f>
        <v>Sat</v>
      </c>
    </row>
    <row r="221" spans="1:8" ht="13.8" customHeight="1" x14ac:dyDescent="0.25">
      <c r="A221" s="13"/>
      <c r="B221" s="14"/>
      <c r="C221" s="39"/>
      <c r="D221" s="39"/>
      <c r="E221" s="36" t="str">
        <f>IF(SUM(C221:D221)=0," ",SUM(C221:D221))</f>
        <v xml:space="preserve"> </v>
      </c>
      <c r="F221" s="14"/>
      <c r="G221" s="120" t="e">
        <f>VLOOKUP($B221,Information!$C$8:$F$15,4,FALSE)</f>
        <v>#N/A</v>
      </c>
      <c r="H221" s="210" t="str">
        <f>TEXT(A221,"ddd")</f>
        <v>Sat</v>
      </c>
    </row>
    <row r="222" spans="1:8" x14ac:dyDescent="0.25">
      <c r="A222" s="13"/>
      <c r="B222" s="14"/>
      <c r="C222" s="39"/>
      <c r="D222" s="39"/>
      <c r="E222" s="36" t="str">
        <f>IF(SUM(C222:D222)=0," ",SUM(C222:D222))</f>
        <v xml:space="preserve"> </v>
      </c>
      <c r="F222" s="14"/>
      <c r="G222" s="120" t="e">
        <f>VLOOKUP($B222,Information!$C$8:$F$15,4,FALSE)</f>
        <v>#N/A</v>
      </c>
      <c r="H222" s="210" t="str">
        <f>TEXT(A222,"ddd")</f>
        <v>Sat</v>
      </c>
    </row>
    <row r="223" spans="1:8" x14ac:dyDescent="0.25">
      <c r="A223" s="143"/>
      <c r="B223" s="14"/>
      <c r="C223" s="37"/>
      <c r="D223" s="37"/>
      <c r="E223" s="36" t="str">
        <f>IF(SUM(C223:D223)=0," ",SUM(C223:D223))</f>
        <v xml:space="preserve"> </v>
      </c>
      <c r="F223" s="17"/>
      <c r="G223" s="120" t="e">
        <f>VLOOKUP($B223,Information!$C$8:$F$15,4,FALSE)</f>
        <v>#N/A</v>
      </c>
      <c r="H223" s="210" t="str">
        <f>TEXT(A223,"ddd")</f>
        <v>Sat</v>
      </c>
    </row>
    <row r="224" spans="1:8" ht="14.4" customHeight="1" x14ac:dyDescent="0.25">
      <c r="A224" s="13"/>
      <c r="B224" s="14"/>
      <c r="C224" s="39"/>
      <c r="D224" s="39"/>
      <c r="E224" s="36" t="str">
        <f>IF(SUM(C224:D224)=0," ",SUM(C224:D224))</f>
        <v xml:space="preserve"> </v>
      </c>
      <c r="F224" s="14"/>
      <c r="G224" s="120" t="e">
        <f>VLOOKUP($B224,Information!$C$8:$F$15,4,FALSE)</f>
        <v>#N/A</v>
      </c>
      <c r="H224" s="210" t="str">
        <f>TEXT(A224,"ddd")</f>
        <v>Sat</v>
      </c>
    </row>
    <row r="225" spans="1:8" x14ac:dyDescent="0.25">
      <c r="A225" s="13"/>
      <c r="B225" s="14"/>
      <c r="C225" s="39"/>
      <c r="D225" s="39"/>
      <c r="E225" s="36" t="str">
        <f>IF(SUM(C225:D225)=0," ",SUM(C225:D225))</f>
        <v xml:space="preserve"> </v>
      </c>
      <c r="F225" s="14"/>
      <c r="G225" s="120" t="e">
        <f>VLOOKUP($B225,Information!$C$8:$F$15,4,FALSE)</f>
        <v>#N/A</v>
      </c>
      <c r="H225" s="210" t="str">
        <f>TEXT(A225,"ddd")</f>
        <v>Sat</v>
      </c>
    </row>
    <row r="226" spans="1:8" ht="13.8" customHeight="1" x14ac:dyDescent="0.25">
      <c r="A226" s="13"/>
      <c r="B226" s="14"/>
      <c r="C226" s="39"/>
      <c r="D226" s="39"/>
      <c r="E226" s="36" t="str">
        <f>IF(SUM(C226:D226)=0," ",SUM(C226:D226))</f>
        <v xml:space="preserve"> </v>
      </c>
      <c r="F226" s="14"/>
      <c r="G226" s="120" t="e">
        <f>VLOOKUP($B226,Information!$C$8:$F$15,4,FALSE)</f>
        <v>#N/A</v>
      </c>
      <c r="H226" s="210" t="str">
        <f>TEXT(A226,"ddd")</f>
        <v>Sat</v>
      </c>
    </row>
    <row r="227" spans="1:8" ht="13.8" customHeight="1" x14ac:dyDescent="0.25">
      <c r="A227" s="13"/>
      <c r="B227" s="14"/>
      <c r="C227" s="39"/>
      <c r="D227" s="39"/>
      <c r="E227" s="36" t="str">
        <f>IF(SUM(C227:D227)=0," ",SUM(C227:D227))</f>
        <v xml:space="preserve"> </v>
      </c>
      <c r="F227" s="14"/>
      <c r="G227" s="120" t="e">
        <f>VLOOKUP($B227,Information!$C$8:$F$15,4,FALSE)</f>
        <v>#N/A</v>
      </c>
      <c r="H227" s="210" t="str">
        <f>TEXT(A227,"ddd")</f>
        <v>Sat</v>
      </c>
    </row>
    <row r="228" spans="1:8" x14ac:dyDescent="0.25">
      <c r="A228" s="13"/>
      <c r="B228" s="14"/>
      <c r="C228" s="39"/>
      <c r="D228" s="39"/>
      <c r="E228" s="36" t="str">
        <f>IF(SUM(C228:D228)=0," ",SUM(C228:D228))</f>
        <v xml:space="preserve"> </v>
      </c>
      <c r="F228" s="14"/>
      <c r="G228" s="120" t="e">
        <f>VLOOKUP($B228,Information!$C$8:$F$15,4,FALSE)</f>
        <v>#N/A</v>
      </c>
      <c r="H228" s="210" t="str">
        <f>TEXT(A228,"ddd")</f>
        <v>Sat</v>
      </c>
    </row>
    <row r="229" spans="1:8" ht="13.8" customHeight="1" x14ac:dyDescent="0.25">
      <c r="A229" s="13"/>
      <c r="B229" s="14"/>
      <c r="C229" s="39"/>
      <c r="D229" s="39"/>
      <c r="E229" s="36" t="str">
        <f>IF(SUM(C229:D229)=0," ",SUM(C229:D229))</f>
        <v xml:space="preserve"> </v>
      </c>
      <c r="F229" s="14"/>
      <c r="G229" s="120" t="e">
        <f>VLOOKUP($B229,Information!$C$8:$F$15,4,FALSE)</f>
        <v>#N/A</v>
      </c>
      <c r="H229" s="210" t="str">
        <f>TEXT(A229,"ddd")</f>
        <v>Sat</v>
      </c>
    </row>
    <row r="230" spans="1:8" ht="13.8" customHeight="1" x14ac:dyDescent="0.25">
      <c r="A230" s="143"/>
      <c r="B230" s="14"/>
      <c r="C230" s="37"/>
      <c r="D230" s="37"/>
      <c r="E230" s="36" t="str">
        <f>IF(SUM(C230:D230)=0," ",SUM(C230:D230))</f>
        <v xml:space="preserve"> </v>
      </c>
      <c r="F230" s="17"/>
      <c r="G230" s="120" t="e">
        <f>VLOOKUP($B230,Information!$C$8:$F$15,4,FALSE)</f>
        <v>#N/A</v>
      </c>
      <c r="H230" s="210" t="str">
        <f>TEXT(A230,"ddd")</f>
        <v>Sat</v>
      </c>
    </row>
    <row r="231" spans="1:8" x14ac:dyDescent="0.25">
      <c r="A231" s="143"/>
      <c r="B231" s="14"/>
      <c r="C231" s="37"/>
      <c r="D231" s="37"/>
      <c r="E231" s="36" t="str">
        <f>IF(SUM(C231:D231)=0," ",SUM(C231:D231))</f>
        <v xml:space="preserve"> </v>
      </c>
      <c r="F231" s="17"/>
      <c r="G231" s="120" t="e">
        <f>VLOOKUP($B231,Information!$C$8:$F$15,4,FALSE)</f>
        <v>#N/A</v>
      </c>
      <c r="H231" s="210" t="str">
        <f>TEXT(A231,"ddd")</f>
        <v>Sat</v>
      </c>
    </row>
    <row r="232" spans="1:8" x14ac:dyDescent="0.25">
      <c r="A232" s="13"/>
      <c r="B232" s="14"/>
      <c r="C232" s="39"/>
      <c r="D232" s="39"/>
      <c r="E232" s="36" t="str">
        <f>IF(SUM(C232:D232)=0," ",SUM(C232:D232))</f>
        <v xml:space="preserve"> </v>
      </c>
      <c r="F232" s="14"/>
      <c r="G232" s="120" t="e">
        <f>VLOOKUP($B232,Information!$C$8:$F$15,4,FALSE)</f>
        <v>#N/A</v>
      </c>
      <c r="H232" s="210" t="str">
        <f>TEXT(A232,"ddd")</f>
        <v>Sat</v>
      </c>
    </row>
    <row r="233" spans="1:8" x14ac:dyDescent="0.25">
      <c r="A233" s="13"/>
      <c r="B233" s="14"/>
      <c r="C233" s="39"/>
      <c r="D233" s="39"/>
      <c r="E233" s="36" t="str">
        <f>IF(SUM(C233:D233)=0," ",SUM(C233:D233))</f>
        <v xml:space="preserve"> </v>
      </c>
      <c r="F233" s="14"/>
      <c r="G233" s="120" t="e">
        <f>VLOOKUP($B233,Information!$C$8:$F$15,4,FALSE)</f>
        <v>#N/A</v>
      </c>
      <c r="H233" s="210" t="str">
        <f>TEXT(A233,"ddd")</f>
        <v>Sat</v>
      </c>
    </row>
    <row r="234" spans="1:8" x14ac:dyDescent="0.25">
      <c r="A234" s="13"/>
      <c r="B234" s="14"/>
      <c r="C234" s="39"/>
      <c r="D234" s="39"/>
      <c r="E234" s="36" t="str">
        <f>IF(SUM(C234:D234)=0," ",SUM(C234:D234))</f>
        <v xml:space="preserve"> </v>
      </c>
      <c r="F234" s="14"/>
      <c r="G234" s="120" t="e">
        <f>VLOOKUP($B234,Information!$C$8:$F$15,4,FALSE)</f>
        <v>#N/A</v>
      </c>
      <c r="H234" s="210" t="str">
        <f>TEXT(A234,"ddd")</f>
        <v>Sat</v>
      </c>
    </row>
    <row r="235" spans="1:8" x14ac:dyDescent="0.25">
      <c r="A235" s="143"/>
      <c r="B235" s="14"/>
      <c r="C235" s="37"/>
      <c r="D235" s="37"/>
      <c r="E235" s="36" t="str">
        <f>IF(SUM(C235:D235)=0," ",SUM(C235:D235))</f>
        <v xml:space="preserve"> </v>
      </c>
      <c r="F235" s="17"/>
      <c r="G235" s="120" t="e">
        <f>VLOOKUP($B235,Information!$C$8:$F$15,4,FALSE)</f>
        <v>#N/A</v>
      </c>
      <c r="H235" s="210" t="str">
        <f>TEXT(A235,"ddd")</f>
        <v>Sat</v>
      </c>
    </row>
    <row r="236" spans="1:8" ht="13.8" customHeight="1" x14ac:dyDescent="0.25">
      <c r="A236" s="13"/>
      <c r="B236" s="14"/>
      <c r="C236" s="39"/>
      <c r="D236" s="39"/>
      <c r="E236" s="36" t="str">
        <f>IF(SUM(C236:D236)=0," ",SUM(C236:D236))</f>
        <v xml:space="preserve"> </v>
      </c>
      <c r="F236" s="14"/>
      <c r="G236" s="120" t="e">
        <f>VLOOKUP($B236,Information!$C$8:$F$15,4,FALSE)</f>
        <v>#N/A</v>
      </c>
      <c r="H236" s="210" t="str">
        <f>TEXT(A236,"ddd")</f>
        <v>Sat</v>
      </c>
    </row>
    <row r="237" spans="1:8" ht="13.8" customHeight="1" x14ac:dyDescent="0.25">
      <c r="A237" s="13"/>
      <c r="B237" s="14"/>
      <c r="C237" s="39"/>
      <c r="D237" s="39"/>
      <c r="E237" s="36" t="str">
        <f>IF(SUM(C237:D237)=0," ",SUM(C237:D237))</f>
        <v xml:space="preserve"> </v>
      </c>
      <c r="F237" s="14"/>
      <c r="G237" s="120" t="e">
        <f>VLOOKUP($B237,Information!$C$8:$F$15,4,FALSE)</f>
        <v>#N/A</v>
      </c>
      <c r="H237" s="210" t="str">
        <f>TEXT(A237,"ddd")</f>
        <v>Sat</v>
      </c>
    </row>
    <row r="238" spans="1:8" x14ac:dyDescent="0.25">
      <c r="A238" s="13"/>
      <c r="B238" s="14"/>
      <c r="C238" s="39"/>
      <c r="D238" s="39"/>
      <c r="E238" s="36" t="str">
        <f>IF(SUM(C238:D238)=0," ",SUM(C238:D238))</f>
        <v xml:space="preserve"> </v>
      </c>
      <c r="F238" s="14"/>
      <c r="G238" s="120" t="e">
        <f>VLOOKUP($B238,Information!$C$8:$F$15,4,FALSE)</f>
        <v>#N/A</v>
      </c>
      <c r="H238" s="210" t="str">
        <f>TEXT(A238,"ddd")</f>
        <v>Sat</v>
      </c>
    </row>
    <row r="239" spans="1:8" x14ac:dyDescent="0.25">
      <c r="A239" s="13"/>
      <c r="B239" s="14"/>
      <c r="C239" s="39"/>
      <c r="D239" s="39"/>
      <c r="E239" s="36" t="str">
        <f>IF(SUM(C239:D239)=0," ",SUM(C239:D239))</f>
        <v xml:space="preserve"> </v>
      </c>
      <c r="F239" s="14"/>
      <c r="G239" s="120" t="e">
        <f>VLOOKUP($B239,Information!$C$8:$F$15,4,FALSE)</f>
        <v>#N/A</v>
      </c>
      <c r="H239" s="210" t="str">
        <f>TEXT(A239,"ddd")</f>
        <v>Sat</v>
      </c>
    </row>
    <row r="240" spans="1:8" x14ac:dyDescent="0.25">
      <c r="A240" s="13"/>
      <c r="B240" s="14"/>
      <c r="C240" s="39"/>
      <c r="D240" s="39"/>
      <c r="E240" s="36" t="str">
        <f>IF(SUM(C240:D240)=0," ",SUM(C240:D240))</f>
        <v xml:space="preserve"> </v>
      </c>
      <c r="F240" s="14"/>
      <c r="G240" s="120" t="e">
        <f>VLOOKUP($B240,Information!$C$8:$F$15,4,FALSE)</f>
        <v>#N/A</v>
      </c>
      <c r="H240" s="210" t="str">
        <f>TEXT(A240,"ddd")</f>
        <v>Sat</v>
      </c>
    </row>
    <row r="241" spans="1:8" x14ac:dyDescent="0.25">
      <c r="A241" s="13"/>
      <c r="B241" s="14"/>
      <c r="C241" s="39"/>
      <c r="D241" s="39"/>
      <c r="E241" s="36" t="str">
        <f>IF(SUM(C241:D241)=0," ",SUM(C241:D241))</f>
        <v xml:space="preserve"> </v>
      </c>
      <c r="F241" s="14"/>
      <c r="G241" s="120" t="e">
        <f>VLOOKUP($B241,Information!$C$8:$F$15,4,FALSE)</f>
        <v>#N/A</v>
      </c>
      <c r="H241" s="210" t="str">
        <f>TEXT(A241,"ddd")</f>
        <v>Sat</v>
      </c>
    </row>
    <row r="242" spans="1:8" ht="14.4" customHeight="1" x14ac:dyDescent="0.25">
      <c r="A242" s="13"/>
      <c r="B242" s="14"/>
      <c r="C242" s="39"/>
      <c r="D242" s="39"/>
      <c r="E242" s="36" t="str">
        <f>IF(SUM(C242:D242)=0," ",SUM(C242:D242))</f>
        <v xml:space="preserve"> </v>
      </c>
      <c r="F242" s="14"/>
      <c r="G242" s="120" t="e">
        <f>VLOOKUP($B242,Information!$C$8:$F$15,4,FALSE)</f>
        <v>#N/A</v>
      </c>
      <c r="H242" s="210" t="str">
        <f>TEXT(A242,"ddd")</f>
        <v>Sat</v>
      </c>
    </row>
    <row r="243" spans="1:8" x14ac:dyDescent="0.25">
      <c r="A243" s="13"/>
      <c r="B243" s="14"/>
      <c r="C243" s="39"/>
      <c r="D243" s="39"/>
      <c r="E243" s="36" t="str">
        <f>IF(SUM(C243:D243)=0," ",SUM(C243:D243))</f>
        <v xml:space="preserve"> </v>
      </c>
      <c r="F243" s="14"/>
      <c r="G243" s="120" t="e">
        <f>VLOOKUP($B243,Information!$C$8:$F$15,4,FALSE)</f>
        <v>#N/A</v>
      </c>
      <c r="H243" s="210" t="str">
        <f>TEXT(A243,"ddd")</f>
        <v>Sat</v>
      </c>
    </row>
    <row r="244" spans="1:8" x14ac:dyDescent="0.25">
      <c r="A244" s="13"/>
      <c r="B244" s="14"/>
      <c r="C244" s="39"/>
      <c r="D244" s="39"/>
      <c r="E244" s="36" t="str">
        <f>IF(SUM(C244:D244)=0," ",SUM(C244:D244))</f>
        <v xml:space="preserve"> </v>
      </c>
      <c r="F244" s="14"/>
      <c r="G244" s="120" t="e">
        <f>VLOOKUP($B244,Information!$C$8:$F$15,4,FALSE)</f>
        <v>#N/A</v>
      </c>
      <c r="H244" s="210" t="str">
        <f>TEXT(A244,"ddd")</f>
        <v>Sat</v>
      </c>
    </row>
    <row r="245" spans="1:8" x14ac:dyDescent="0.25">
      <c r="A245" s="13"/>
      <c r="B245" s="14"/>
      <c r="C245" s="39"/>
      <c r="D245" s="39"/>
      <c r="E245" s="36" t="str">
        <f>IF(SUM(C245:D245)=0," ",SUM(C245:D245))</f>
        <v xml:space="preserve"> </v>
      </c>
      <c r="F245" s="14"/>
      <c r="G245" s="120" t="e">
        <f>VLOOKUP($B245,Information!$C$8:$F$15,4,FALSE)</f>
        <v>#N/A</v>
      </c>
      <c r="H245" s="210" t="str">
        <f>TEXT(A245,"ddd")</f>
        <v>Sat</v>
      </c>
    </row>
    <row r="246" spans="1:8" ht="13.8" customHeight="1" x14ac:dyDescent="0.25">
      <c r="A246" s="13"/>
      <c r="B246" s="14"/>
      <c r="C246" s="39"/>
      <c r="D246" s="39"/>
      <c r="E246" s="36" t="str">
        <f>IF(SUM(C246:D246)=0," ",SUM(C246:D246))</f>
        <v xml:space="preserve"> </v>
      </c>
      <c r="F246" s="14"/>
      <c r="G246" s="120" t="e">
        <f>VLOOKUP($B246,Information!$C$8:$F$15,4,FALSE)</f>
        <v>#N/A</v>
      </c>
      <c r="H246" s="210" t="str">
        <f>TEXT(A246,"ddd")</f>
        <v>Sat</v>
      </c>
    </row>
    <row r="247" spans="1:8" x14ac:dyDescent="0.25">
      <c r="A247" s="13"/>
      <c r="B247" s="14"/>
      <c r="C247" s="39"/>
      <c r="D247" s="39"/>
      <c r="E247" s="36" t="str">
        <f>IF(SUM(C247:D247)=0," ",SUM(C247:D247))</f>
        <v xml:space="preserve"> </v>
      </c>
      <c r="F247" s="14"/>
      <c r="G247" s="120" t="e">
        <f>VLOOKUP($B247,Information!$C$8:$F$15,4,FALSE)</f>
        <v>#N/A</v>
      </c>
      <c r="H247" s="210" t="str">
        <f>TEXT(A247,"ddd")</f>
        <v>Sat</v>
      </c>
    </row>
    <row r="248" spans="1:8" x14ac:dyDescent="0.25">
      <c r="A248" s="13"/>
      <c r="B248" s="14"/>
      <c r="C248" s="39"/>
      <c r="D248" s="39"/>
      <c r="E248" s="36" t="str">
        <f>IF(SUM(C248:D248)=0," ",SUM(C248:D248))</f>
        <v xml:space="preserve"> </v>
      </c>
      <c r="F248" s="14"/>
      <c r="G248" s="120" t="e">
        <f>VLOOKUP($B248,Information!$C$8:$F$15,4,FALSE)</f>
        <v>#N/A</v>
      </c>
      <c r="H248" s="210" t="str">
        <f>TEXT(A248,"ddd")</f>
        <v>Sat</v>
      </c>
    </row>
    <row r="249" spans="1:8" x14ac:dyDescent="0.25">
      <c r="A249" s="13"/>
      <c r="B249" s="14"/>
      <c r="C249" s="39"/>
      <c r="D249" s="39"/>
      <c r="E249" s="36" t="str">
        <f>IF(SUM(C249:D249)=0," ",SUM(C249:D249))</f>
        <v xml:space="preserve"> </v>
      </c>
      <c r="F249" s="14"/>
      <c r="G249" s="120" t="e">
        <f>VLOOKUP($B249,Information!$C$8:$F$15,4,FALSE)</f>
        <v>#N/A</v>
      </c>
      <c r="H249" s="210" t="str">
        <f>TEXT(A249,"ddd")</f>
        <v>Sat</v>
      </c>
    </row>
    <row r="250" spans="1:8" x14ac:dyDescent="0.25">
      <c r="A250" s="13"/>
      <c r="B250" s="14"/>
      <c r="C250" s="39"/>
      <c r="D250" s="39"/>
      <c r="E250" s="36" t="str">
        <f>IF(SUM(C250:D250)=0," ",SUM(C250:D250))</f>
        <v xml:space="preserve"> </v>
      </c>
      <c r="F250" s="14"/>
      <c r="G250" s="120" t="e">
        <f>VLOOKUP($B250,Information!$C$8:$F$15,4,FALSE)</f>
        <v>#N/A</v>
      </c>
      <c r="H250" s="210" t="str">
        <f>TEXT(A250,"ddd")</f>
        <v>Sat</v>
      </c>
    </row>
    <row r="251" spans="1:8" x14ac:dyDescent="0.25">
      <c r="A251" s="13"/>
      <c r="B251" s="14"/>
      <c r="C251" s="39"/>
      <c r="D251" s="39"/>
      <c r="E251" s="36" t="str">
        <f>IF(SUM(C251:D251)=0," ",SUM(C251:D251))</f>
        <v xml:space="preserve"> </v>
      </c>
      <c r="F251" s="14"/>
      <c r="G251" s="120" t="e">
        <f>VLOOKUP($B251,Information!$C$8:$F$15,4,FALSE)</f>
        <v>#N/A</v>
      </c>
      <c r="H251" s="210" t="str">
        <f>TEXT(A251,"ddd")</f>
        <v>Sat</v>
      </c>
    </row>
    <row r="252" spans="1:8" x14ac:dyDescent="0.25">
      <c r="A252" s="13"/>
      <c r="B252" s="14"/>
      <c r="C252" s="39"/>
      <c r="D252" s="39"/>
      <c r="E252" s="36" t="str">
        <f>IF(SUM(C252:D252)=0," ",SUM(C252:D252))</f>
        <v xml:space="preserve"> </v>
      </c>
      <c r="F252" s="14"/>
      <c r="G252" s="120" t="e">
        <f>VLOOKUP($B252,Information!$C$8:$F$15,4,FALSE)</f>
        <v>#N/A</v>
      </c>
      <c r="H252" s="210" t="str">
        <f>TEXT(A252,"ddd")</f>
        <v>Sat</v>
      </c>
    </row>
    <row r="253" spans="1:8" x14ac:dyDescent="0.25">
      <c r="A253" s="13"/>
      <c r="B253" s="14"/>
      <c r="C253" s="39"/>
      <c r="D253" s="39"/>
      <c r="E253" s="36" t="str">
        <f>IF(SUM(C253:D253)=0," ",SUM(C253:D253))</f>
        <v xml:space="preserve"> </v>
      </c>
      <c r="F253" s="14"/>
      <c r="G253" s="120" t="e">
        <f>VLOOKUP($B253,Information!$C$8:$F$15,4,FALSE)</f>
        <v>#N/A</v>
      </c>
      <c r="H253" s="210" t="str">
        <f>TEXT(A253,"ddd")</f>
        <v>Sat</v>
      </c>
    </row>
    <row r="254" spans="1:8" x14ac:dyDescent="0.25">
      <c r="A254" s="15"/>
      <c r="B254" s="14"/>
      <c r="C254" s="37"/>
      <c r="D254" s="37"/>
      <c r="E254" s="36" t="str">
        <f>IF(SUM(C254:D254)=0," ",SUM(C254:D254))</f>
        <v xml:space="preserve"> </v>
      </c>
      <c r="F254" s="17"/>
      <c r="G254" s="120" t="e">
        <f>VLOOKUP($B254,Information!$C$8:$F$15,4,FALSE)</f>
        <v>#N/A</v>
      </c>
      <c r="H254" s="210" t="str">
        <f>TEXT(A254,"ddd")</f>
        <v>Sat</v>
      </c>
    </row>
    <row r="255" spans="1:8" x14ac:dyDescent="0.25">
      <c r="A255" s="13"/>
      <c r="B255" s="14"/>
      <c r="C255" s="39"/>
      <c r="D255" s="39"/>
      <c r="E255" s="36" t="str">
        <f>IF(SUM(C255:D255)=0," ",SUM(C255:D255))</f>
        <v xml:space="preserve"> </v>
      </c>
      <c r="F255" s="14"/>
      <c r="G255" s="120" t="e">
        <f>VLOOKUP($B255,Information!$C$8:$F$15,4,FALSE)</f>
        <v>#N/A</v>
      </c>
      <c r="H255" s="210" t="str">
        <f>TEXT(A255,"ddd")</f>
        <v>Sat</v>
      </c>
    </row>
    <row r="256" spans="1:8" x14ac:dyDescent="0.25">
      <c r="A256" s="13"/>
      <c r="B256" s="14"/>
      <c r="C256" s="39"/>
      <c r="D256" s="39"/>
      <c r="E256" s="36" t="str">
        <f>IF(SUM(C256:D256)=0," ",SUM(C256:D256))</f>
        <v xml:space="preserve"> </v>
      </c>
      <c r="F256" s="14"/>
      <c r="G256" s="120" t="e">
        <f>VLOOKUP($B256,Information!$C$8:$F$15,4,FALSE)</f>
        <v>#N/A</v>
      </c>
      <c r="H256" s="210" t="str">
        <f>TEXT(A256,"ddd")</f>
        <v>Sat</v>
      </c>
    </row>
    <row r="257" spans="1:8" x14ac:dyDescent="0.25">
      <c r="A257" s="13"/>
      <c r="B257" s="14"/>
      <c r="C257" s="39"/>
      <c r="D257" s="39"/>
      <c r="E257" s="36" t="str">
        <f>IF(SUM(C257:D257)=0," ",SUM(C257:D257))</f>
        <v xml:space="preserve"> </v>
      </c>
      <c r="F257" s="14"/>
      <c r="G257" s="120" t="e">
        <f>VLOOKUP($B257,Information!$C$8:$F$15,4,FALSE)</f>
        <v>#N/A</v>
      </c>
      <c r="H257" s="210" t="str">
        <f>TEXT(A257,"ddd")</f>
        <v>Sat</v>
      </c>
    </row>
    <row r="258" spans="1:8" x14ac:dyDescent="0.25">
      <c r="A258" s="13"/>
      <c r="B258" s="14"/>
      <c r="C258" s="207"/>
      <c r="D258" s="39"/>
      <c r="E258" s="36" t="str">
        <f>IF(SUM(C258:D258)=0," ",SUM(C258:D258))</f>
        <v xml:space="preserve"> </v>
      </c>
      <c r="F258" s="14"/>
      <c r="G258" s="120" t="e">
        <f>VLOOKUP($B258,Information!$C$8:$F$15,4,FALSE)</f>
        <v>#N/A</v>
      </c>
      <c r="H258" s="210" t="str">
        <f>TEXT(A258,"ddd")</f>
        <v>Sat</v>
      </c>
    </row>
    <row r="259" spans="1:8" x14ac:dyDescent="0.25">
      <c r="A259" s="13"/>
      <c r="B259" s="14"/>
      <c r="C259" s="39"/>
      <c r="D259" s="39"/>
      <c r="E259" s="36" t="str">
        <f>IF(SUM(C259:D259)=0," ",SUM(C259:D259))</f>
        <v xml:space="preserve"> </v>
      </c>
      <c r="F259" s="14"/>
      <c r="G259" s="120" t="e">
        <f>VLOOKUP($B259,Information!$C$8:$F$15,4,FALSE)</f>
        <v>#N/A</v>
      </c>
      <c r="H259" s="210" t="str">
        <f>TEXT(A259,"ddd")</f>
        <v>Sat</v>
      </c>
    </row>
    <row r="260" spans="1:8" ht="13.8" customHeight="1" x14ac:dyDescent="0.3">
      <c r="A260" s="15"/>
      <c r="B260" s="14"/>
      <c r="C260" s="37"/>
      <c r="D260" s="37"/>
      <c r="E260" s="36" t="str">
        <f>IF(SUM(C260:D260)=0," ",SUM(C260:D260))</f>
        <v xml:space="preserve"> </v>
      </c>
      <c r="F260" s="18"/>
      <c r="G260" s="120" t="e">
        <f>VLOOKUP($B260,Information!$C$8:$F$15,4,FALSE)</f>
        <v>#N/A</v>
      </c>
      <c r="H260" s="210" t="str">
        <f>TEXT(A260,"ddd")</f>
        <v>Sat</v>
      </c>
    </row>
    <row r="261" spans="1:8" x14ac:dyDescent="0.25">
      <c r="A261" s="15"/>
      <c r="B261" s="14"/>
      <c r="C261" s="37"/>
      <c r="D261" s="37"/>
      <c r="E261" s="36" t="str">
        <f>IF(SUM(C261:D261)=0," ",SUM(C261:D261))</f>
        <v xml:space="preserve"> </v>
      </c>
      <c r="F261" s="17"/>
      <c r="G261" s="120" t="e">
        <f>VLOOKUP($B261,Information!$C$8:$F$15,4,FALSE)</f>
        <v>#N/A</v>
      </c>
      <c r="H261" s="210" t="str">
        <f>TEXT(A261,"ddd")</f>
        <v>Sat</v>
      </c>
    </row>
    <row r="262" spans="1:8" x14ac:dyDescent="0.25">
      <c r="A262" s="13"/>
      <c r="B262" s="14"/>
      <c r="C262" s="39"/>
      <c r="D262" s="39"/>
      <c r="E262" s="36" t="str">
        <f>IF(SUM(C262:D262)=0," ",SUM(C262:D262))</f>
        <v xml:space="preserve"> </v>
      </c>
      <c r="F262" s="14"/>
      <c r="G262" s="120" t="e">
        <f>VLOOKUP($B262,Information!$C$8:$F$15,4,FALSE)</f>
        <v>#N/A</v>
      </c>
      <c r="H262" s="210" t="str">
        <f>TEXT(A262,"ddd")</f>
        <v>Sat</v>
      </c>
    </row>
    <row r="263" spans="1:8" ht="13.8" customHeight="1" x14ac:dyDescent="0.3">
      <c r="A263" s="15"/>
      <c r="B263" s="14"/>
      <c r="C263" s="37"/>
      <c r="D263" s="37"/>
      <c r="E263" s="36" t="str">
        <f>IF(SUM(C263:D263)=0," ",SUM(C263:D263))</f>
        <v xml:space="preserve"> </v>
      </c>
      <c r="F263" s="18"/>
      <c r="G263" s="120" t="e">
        <f>VLOOKUP($B263,Information!$C$8:$F$15,4,FALSE)</f>
        <v>#N/A</v>
      </c>
      <c r="H263" s="210" t="str">
        <f>TEXT(A263,"ddd")</f>
        <v>Sat</v>
      </c>
    </row>
    <row r="264" spans="1:8" ht="13.8" customHeight="1" x14ac:dyDescent="0.25">
      <c r="A264" s="13"/>
      <c r="B264" s="14"/>
      <c r="C264" s="39"/>
      <c r="D264" s="39"/>
      <c r="E264" s="36" t="str">
        <f>IF(SUM(C264:D264)=0," ",SUM(C264:D264))</f>
        <v xml:space="preserve"> </v>
      </c>
      <c r="F264" s="14"/>
      <c r="G264" s="120" t="e">
        <f>VLOOKUP($B264,Information!$C$8:$F$15,4,FALSE)</f>
        <v>#N/A</v>
      </c>
      <c r="H264" s="210" t="str">
        <f>TEXT(A264,"ddd")</f>
        <v>Sat</v>
      </c>
    </row>
    <row r="265" spans="1:8" ht="13.8" customHeight="1" x14ac:dyDescent="0.25">
      <c r="A265" s="13"/>
      <c r="B265" s="14"/>
      <c r="C265" s="39"/>
      <c r="D265" s="39"/>
      <c r="E265" s="36" t="str">
        <f>IF(SUM(C265:D265)=0," ",SUM(C265:D265))</f>
        <v xml:space="preserve"> </v>
      </c>
      <c r="F265" s="14"/>
      <c r="G265" s="120" t="e">
        <f>VLOOKUP($B265,Information!$C$8:$F$15,4,FALSE)</f>
        <v>#N/A</v>
      </c>
      <c r="H265" s="210" t="str">
        <f>TEXT(A265,"ddd")</f>
        <v>Sat</v>
      </c>
    </row>
    <row r="266" spans="1:8" x14ac:dyDescent="0.25">
      <c r="A266" s="13"/>
      <c r="B266" s="14"/>
      <c r="C266" s="39"/>
      <c r="D266" s="39"/>
      <c r="E266" s="36" t="str">
        <f>IF(SUM(C266:D266)=0," ",SUM(C266:D266))</f>
        <v xml:space="preserve"> </v>
      </c>
      <c r="F266" s="14"/>
      <c r="G266" s="120" t="e">
        <f>VLOOKUP($B266,Information!$C$8:$F$15,4,FALSE)</f>
        <v>#N/A</v>
      </c>
      <c r="H266" s="210" t="str">
        <f>TEXT(A266,"ddd")</f>
        <v>Sat</v>
      </c>
    </row>
    <row r="267" spans="1:8" ht="13.8" customHeight="1" x14ac:dyDescent="0.25">
      <c r="A267" s="13"/>
      <c r="B267" s="14"/>
      <c r="C267" s="39"/>
      <c r="D267" s="39"/>
      <c r="E267" s="36" t="str">
        <f>IF(SUM(C267:D267)=0," ",SUM(C267:D267))</f>
        <v xml:space="preserve"> </v>
      </c>
      <c r="F267" s="14"/>
      <c r="G267" s="120" t="e">
        <f>VLOOKUP($B267,Information!$C$8:$F$15,4,FALSE)</f>
        <v>#N/A</v>
      </c>
      <c r="H267" s="210" t="str">
        <f>TEXT(A267,"ddd")</f>
        <v>Sat</v>
      </c>
    </row>
    <row r="268" spans="1:8" ht="13.8" customHeight="1" x14ac:dyDescent="0.25">
      <c r="A268" s="13"/>
      <c r="B268" s="14"/>
      <c r="C268" s="39"/>
      <c r="D268" s="39"/>
      <c r="E268" s="36" t="str">
        <f>IF(SUM(C268:D268)=0," ",SUM(C268:D268))</f>
        <v xml:space="preserve"> </v>
      </c>
      <c r="F268" s="14"/>
      <c r="G268" s="120" t="e">
        <f>VLOOKUP($B268,Information!$C$8:$F$15,4,FALSE)</f>
        <v>#N/A</v>
      </c>
      <c r="H268" s="210" t="str">
        <f>TEXT(A268,"ddd")</f>
        <v>Sat</v>
      </c>
    </row>
    <row r="269" spans="1:8" x14ac:dyDescent="0.25">
      <c r="A269" s="13"/>
      <c r="B269" s="14"/>
      <c r="C269" s="39"/>
      <c r="D269" s="39"/>
      <c r="E269" s="36" t="str">
        <f>IF(SUM(C269:D269)=0," ",SUM(C269:D269))</f>
        <v xml:space="preserve"> </v>
      </c>
      <c r="F269" s="14"/>
      <c r="G269" s="120" t="e">
        <f>VLOOKUP($B269,Information!$C$8:$F$15,4,FALSE)</f>
        <v>#N/A</v>
      </c>
      <c r="H269" s="210" t="str">
        <f>TEXT(A269,"ddd")</f>
        <v>Sat</v>
      </c>
    </row>
    <row r="270" spans="1:8" x14ac:dyDescent="0.25">
      <c r="A270" s="13"/>
      <c r="B270" s="14"/>
      <c r="C270" s="39"/>
      <c r="D270" s="39"/>
      <c r="E270" s="36" t="str">
        <f>IF(SUM(C270:D270)=0," ",SUM(C270:D270))</f>
        <v xml:space="preserve"> </v>
      </c>
      <c r="F270" s="14"/>
      <c r="G270" s="120" t="e">
        <f>VLOOKUP($B270,Information!$C$8:$F$15,4,FALSE)</f>
        <v>#N/A</v>
      </c>
      <c r="H270" s="210" t="str">
        <f>TEXT(A270,"ddd")</f>
        <v>Sat</v>
      </c>
    </row>
    <row r="271" spans="1:8" x14ac:dyDescent="0.25">
      <c r="A271" s="13"/>
      <c r="B271" s="14"/>
      <c r="C271" s="39"/>
      <c r="D271" s="39"/>
      <c r="E271" s="36" t="str">
        <f>IF(SUM(C271:D271)=0," ",SUM(C271:D271))</f>
        <v xml:space="preserve"> </v>
      </c>
      <c r="F271" s="14"/>
      <c r="G271" s="120" t="e">
        <f>VLOOKUP($B271,Information!$C$8:$F$15,4,FALSE)</f>
        <v>#N/A</v>
      </c>
      <c r="H271" s="210" t="str">
        <f>TEXT(A271,"ddd")</f>
        <v>Sat</v>
      </c>
    </row>
    <row r="272" spans="1:8" x14ac:dyDescent="0.25">
      <c r="A272" s="13"/>
      <c r="B272" s="14"/>
      <c r="C272" s="39"/>
      <c r="D272" s="39"/>
      <c r="E272" s="36" t="str">
        <f>IF(SUM(C272:D272)=0," ",SUM(C272:D272))</f>
        <v xml:space="preserve"> </v>
      </c>
      <c r="F272" s="14"/>
      <c r="G272" s="120" t="e">
        <f>VLOOKUP($B272,Information!$C$8:$F$15,4,FALSE)</f>
        <v>#N/A</v>
      </c>
      <c r="H272" s="210" t="str">
        <f>TEXT(A272,"ddd")</f>
        <v>Sat</v>
      </c>
    </row>
    <row r="273" spans="1:8" ht="13.8" customHeight="1" x14ac:dyDescent="0.3">
      <c r="A273" s="15"/>
      <c r="B273" s="14"/>
      <c r="C273" s="37"/>
      <c r="D273" s="37"/>
      <c r="E273" s="36" t="str">
        <f>IF(SUM(C273:D273)=0," ",SUM(C273:D273))</f>
        <v xml:space="preserve"> </v>
      </c>
      <c r="F273" s="18"/>
      <c r="G273" s="120" t="e">
        <f>VLOOKUP($B273,Information!$C$8:$F$15,4,FALSE)</f>
        <v>#N/A</v>
      </c>
      <c r="H273" s="210" t="str">
        <f>TEXT(A273,"ddd")</f>
        <v>Sat</v>
      </c>
    </row>
    <row r="274" spans="1:8" ht="13.8" customHeight="1" x14ac:dyDescent="0.25">
      <c r="A274" s="13"/>
      <c r="B274" s="14"/>
      <c r="C274" s="39"/>
      <c r="D274" s="39"/>
      <c r="E274" s="36" t="str">
        <f>IF(SUM(C274:D274)=0," ",SUM(C274:D274))</f>
        <v xml:space="preserve"> </v>
      </c>
      <c r="F274" s="14"/>
      <c r="G274" s="120" t="e">
        <f>VLOOKUP($B274,Information!$C$8:$F$15,4,FALSE)</f>
        <v>#N/A</v>
      </c>
      <c r="H274" s="210" t="str">
        <f>TEXT(A274,"ddd")</f>
        <v>Sat</v>
      </c>
    </row>
    <row r="275" spans="1:8" x14ac:dyDescent="0.25">
      <c r="A275" s="13"/>
      <c r="B275" s="14"/>
      <c r="C275" s="39"/>
      <c r="D275" s="39"/>
      <c r="E275" s="36" t="str">
        <f>IF(SUM(C275:D275)=0," ",SUM(C275:D275))</f>
        <v xml:space="preserve"> </v>
      </c>
      <c r="F275" s="14"/>
      <c r="G275" s="120" t="e">
        <f>VLOOKUP($B275,Information!$C$8:$F$15,4,FALSE)</f>
        <v>#N/A</v>
      </c>
      <c r="H275" s="210" t="str">
        <f>TEXT(A275,"ddd")</f>
        <v>Sat</v>
      </c>
    </row>
    <row r="276" spans="1:8" x14ac:dyDescent="0.25">
      <c r="A276" s="13"/>
      <c r="B276" s="14"/>
      <c r="C276" s="39"/>
      <c r="D276" s="39"/>
      <c r="E276" s="36" t="str">
        <f>IF(SUM(C276:D276)=0," ",SUM(C276:D276))</f>
        <v xml:space="preserve"> </v>
      </c>
      <c r="F276" s="14"/>
      <c r="G276" s="120" t="e">
        <f>VLOOKUP($B276,Information!$C$8:$F$15,4,FALSE)</f>
        <v>#N/A</v>
      </c>
      <c r="H276" s="210" t="str">
        <f>TEXT(A276,"ddd")</f>
        <v>Sat</v>
      </c>
    </row>
    <row r="277" spans="1:8" ht="13.8" customHeight="1" x14ac:dyDescent="0.25">
      <c r="A277" s="13"/>
      <c r="B277" s="14"/>
      <c r="C277" s="39"/>
      <c r="D277" s="39"/>
      <c r="E277" s="36" t="str">
        <f>IF(SUM(C277:D277)=0," ",SUM(C277:D277))</f>
        <v xml:space="preserve"> </v>
      </c>
      <c r="F277" s="14"/>
      <c r="G277" s="120" t="e">
        <f>VLOOKUP($B277,Information!$C$8:$F$15,4,FALSE)</f>
        <v>#N/A</v>
      </c>
      <c r="H277" s="210" t="str">
        <f>TEXT(A277,"ddd")</f>
        <v>Sat</v>
      </c>
    </row>
    <row r="278" spans="1:8" x14ac:dyDescent="0.25">
      <c r="A278" s="13"/>
      <c r="B278" s="14"/>
      <c r="C278" s="39"/>
      <c r="D278" s="39"/>
      <c r="E278" s="36" t="str">
        <f>IF(SUM(C278:D278)=0," ",SUM(C278:D278))</f>
        <v xml:space="preserve"> </v>
      </c>
      <c r="F278" s="14"/>
      <c r="G278" s="120" t="e">
        <f>VLOOKUP($B278,Information!$C$8:$F$15,4,FALSE)</f>
        <v>#N/A</v>
      </c>
      <c r="H278" s="210" t="str">
        <f>TEXT(A278,"ddd")</f>
        <v>Sat</v>
      </c>
    </row>
    <row r="279" spans="1:8" x14ac:dyDescent="0.25">
      <c r="A279" s="13"/>
      <c r="B279" s="14"/>
      <c r="C279" s="39"/>
      <c r="D279" s="39"/>
      <c r="E279" s="36" t="str">
        <f>IF(SUM(C279:D279)=0," ",SUM(C279:D279))</f>
        <v xml:space="preserve"> </v>
      </c>
      <c r="F279" s="14"/>
      <c r="G279" s="120" t="e">
        <f>VLOOKUP($B279,Information!$C$8:$F$15,4,FALSE)</f>
        <v>#N/A</v>
      </c>
      <c r="H279" s="210" t="str">
        <f>TEXT(A279,"ddd")</f>
        <v>Sat</v>
      </c>
    </row>
    <row r="280" spans="1:8" x14ac:dyDescent="0.25">
      <c r="A280" s="13"/>
      <c r="B280" s="14"/>
      <c r="C280" s="39"/>
      <c r="D280" s="39"/>
      <c r="E280" s="36" t="str">
        <f>IF(SUM(C280:D280)=0," ",SUM(C280:D280))</f>
        <v xml:space="preserve"> </v>
      </c>
      <c r="F280" s="14"/>
      <c r="G280" s="120" t="e">
        <f>VLOOKUP($B280,Information!$C$8:$F$15,4,FALSE)</f>
        <v>#N/A</v>
      </c>
      <c r="H280" s="210" t="str">
        <f>TEXT(A280,"ddd")</f>
        <v>Sat</v>
      </c>
    </row>
    <row r="281" spans="1:8" x14ac:dyDescent="0.25">
      <c r="A281" s="13"/>
      <c r="B281" s="14"/>
      <c r="C281" s="39"/>
      <c r="D281" s="39"/>
      <c r="E281" s="36" t="str">
        <f>IF(SUM(C281:D281)=0," ",SUM(C281:D281))</f>
        <v xml:space="preserve"> </v>
      </c>
      <c r="F281" s="14"/>
      <c r="G281" s="120" t="e">
        <f>VLOOKUP($B281,Information!$C$8:$F$15,4,FALSE)</f>
        <v>#N/A</v>
      </c>
      <c r="H281" s="210" t="str">
        <f>TEXT(A281,"ddd")</f>
        <v>Sat</v>
      </c>
    </row>
    <row r="282" spans="1:8" x14ac:dyDescent="0.25">
      <c r="A282" s="13"/>
      <c r="B282" s="14"/>
      <c r="C282" s="39"/>
      <c r="D282" s="39"/>
      <c r="E282" s="36" t="str">
        <f>IF(SUM(C282:D282)=0," ",SUM(C282:D282))</f>
        <v xml:space="preserve"> </v>
      </c>
      <c r="F282" s="14"/>
      <c r="G282" s="120" t="e">
        <f>VLOOKUP($B282,Information!$C$8:$F$15,4,FALSE)</f>
        <v>#N/A</v>
      </c>
      <c r="H282" s="210" t="str">
        <f>TEXT(A282,"ddd")</f>
        <v>Sat</v>
      </c>
    </row>
    <row r="283" spans="1:8" x14ac:dyDescent="0.25">
      <c r="A283" s="15"/>
      <c r="B283" s="14"/>
      <c r="C283" s="37"/>
      <c r="D283" s="37"/>
      <c r="E283" s="36" t="str">
        <f>IF(SUM(C283:D283)=0," ",SUM(C283:D283))</f>
        <v xml:space="preserve"> </v>
      </c>
      <c r="F283" s="17"/>
      <c r="G283" s="120" t="e">
        <f>VLOOKUP($B283,Information!$C$8:$F$15,4,FALSE)</f>
        <v>#N/A</v>
      </c>
      <c r="H283" s="210" t="str">
        <f>TEXT(A283,"ddd")</f>
        <v>Sat</v>
      </c>
    </row>
    <row r="284" spans="1:8" x14ac:dyDescent="0.25">
      <c r="A284" s="15"/>
      <c r="B284" s="14"/>
      <c r="C284" s="39"/>
      <c r="D284" s="39"/>
      <c r="E284" s="36" t="str">
        <f>IF(SUM(C284:D284)=0," ",SUM(C284:D284))</f>
        <v xml:space="preserve"> </v>
      </c>
      <c r="F284" s="14"/>
      <c r="G284" s="120" t="e">
        <f>VLOOKUP($B284,Information!$C$8:$F$15,4,FALSE)</f>
        <v>#N/A</v>
      </c>
      <c r="H284" s="210" t="str">
        <f>TEXT(A284,"ddd")</f>
        <v>Sat</v>
      </c>
    </row>
    <row r="285" spans="1:8" ht="13.8" customHeight="1" x14ac:dyDescent="0.25">
      <c r="A285" s="13"/>
      <c r="B285" s="14"/>
      <c r="C285" s="39"/>
      <c r="D285" s="39"/>
      <c r="E285" s="36" t="str">
        <f>IF(SUM(C285:D285)=0," ",SUM(C285:D285))</f>
        <v xml:space="preserve"> </v>
      </c>
      <c r="F285" s="14"/>
      <c r="G285" s="120" t="e">
        <f>VLOOKUP($B285,Information!$C$8:$F$15,4,FALSE)</f>
        <v>#N/A</v>
      </c>
      <c r="H285" s="210" t="str">
        <f>TEXT(A285,"ddd")</f>
        <v>Sat</v>
      </c>
    </row>
    <row r="286" spans="1:8" x14ac:dyDescent="0.25">
      <c r="A286" s="13"/>
      <c r="B286" s="14"/>
      <c r="C286" s="39"/>
      <c r="D286" s="39"/>
      <c r="E286" s="36" t="str">
        <f>IF(SUM(C286:D286)=0," ",SUM(C286:D286))</f>
        <v xml:space="preserve"> </v>
      </c>
      <c r="F286" s="14"/>
      <c r="G286" s="120" t="e">
        <f>VLOOKUP($B286,Information!$C$8:$F$15,4,FALSE)</f>
        <v>#N/A</v>
      </c>
      <c r="H286" s="210" t="str">
        <f>TEXT(A286,"ddd")</f>
        <v>Sat</v>
      </c>
    </row>
    <row r="287" spans="1:8" ht="13.8" customHeight="1" x14ac:dyDescent="0.3">
      <c r="A287" s="15"/>
      <c r="B287" s="14"/>
      <c r="C287" s="37"/>
      <c r="D287" s="37"/>
      <c r="E287" s="36" t="str">
        <f>IF(SUM(C287:D287)=0," ",SUM(C287:D287))</f>
        <v xml:space="preserve"> </v>
      </c>
      <c r="F287" s="18"/>
      <c r="G287" s="120" t="e">
        <f>VLOOKUP($B287,Information!$C$8:$F$15,4,FALSE)</f>
        <v>#N/A</v>
      </c>
      <c r="H287" s="210" t="str">
        <f>TEXT(A287,"ddd")</f>
        <v>Sat</v>
      </c>
    </row>
    <row r="288" spans="1:8" x14ac:dyDescent="0.25">
      <c r="A288" s="13"/>
      <c r="B288" s="14"/>
      <c r="C288" s="39"/>
      <c r="D288" s="39"/>
      <c r="E288" s="36" t="str">
        <f>IF(SUM(C288:D288)=0," ",SUM(C288:D288))</f>
        <v xml:space="preserve"> </v>
      </c>
      <c r="F288" s="14"/>
      <c r="G288" s="120" t="e">
        <f>VLOOKUP($B288,Information!$C$8:$F$15,4,FALSE)</f>
        <v>#N/A</v>
      </c>
      <c r="H288" s="210" t="str">
        <f>TEXT(A288,"ddd")</f>
        <v>Sat</v>
      </c>
    </row>
    <row r="289" spans="1:8" x14ac:dyDescent="0.25">
      <c r="A289" s="13"/>
      <c r="B289" s="14"/>
      <c r="C289" s="39"/>
      <c r="D289" s="39"/>
      <c r="E289" s="36" t="str">
        <f>IF(SUM(C289:D289)=0," ",SUM(C289:D289))</f>
        <v xml:space="preserve"> </v>
      </c>
      <c r="F289" s="14"/>
      <c r="G289" s="120" t="e">
        <f>VLOOKUP($B289,Information!$C$8:$F$15,4,FALSE)</f>
        <v>#N/A</v>
      </c>
      <c r="H289" s="210" t="str">
        <f>TEXT(A289,"ddd")</f>
        <v>Sat</v>
      </c>
    </row>
    <row r="290" spans="1:8" x14ac:dyDescent="0.25">
      <c r="A290" s="13"/>
      <c r="B290" s="14"/>
      <c r="C290" s="39"/>
      <c r="D290" s="39"/>
      <c r="E290" s="36" t="str">
        <f>IF(SUM(C290:D290)=0," ",SUM(C290:D290))</f>
        <v xml:space="preserve"> </v>
      </c>
      <c r="F290" s="14"/>
      <c r="G290" s="120" t="e">
        <f>VLOOKUP($B290,Information!$C$8:$F$15,4,FALSE)</f>
        <v>#N/A</v>
      </c>
      <c r="H290" s="210" t="str">
        <f>TEXT(A290,"ddd")</f>
        <v>Sat</v>
      </c>
    </row>
    <row r="291" spans="1:8" x14ac:dyDescent="0.25">
      <c r="A291" s="13"/>
      <c r="B291" s="14"/>
      <c r="C291" s="39"/>
      <c r="D291" s="39"/>
      <c r="E291" s="36" t="str">
        <f>IF(SUM(C291:D291)=0," ",SUM(C291:D291))</f>
        <v xml:space="preserve"> </v>
      </c>
      <c r="F291" s="14"/>
      <c r="G291" s="120" t="e">
        <f>VLOOKUP($B291,Information!$C$8:$F$15,4,FALSE)</f>
        <v>#N/A</v>
      </c>
      <c r="H291" s="210" t="str">
        <f>TEXT(A291,"ddd")</f>
        <v>Sat</v>
      </c>
    </row>
    <row r="292" spans="1:8" x14ac:dyDescent="0.25">
      <c r="A292" s="13"/>
      <c r="B292" s="14"/>
      <c r="C292" s="39"/>
      <c r="D292" s="39"/>
      <c r="E292" s="36" t="str">
        <f>IF(SUM(C292:D292)=0," ",SUM(C292:D292))</f>
        <v xml:space="preserve"> </v>
      </c>
      <c r="F292" s="14"/>
      <c r="G292" s="120" t="e">
        <f>VLOOKUP($B292,Information!$C$8:$F$15,4,FALSE)</f>
        <v>#N/A</v>
      </c>
      <c r="H292" s="210" t="str">
        <f>TEXT(A292,"ddd")</f>
        <v>Sat</v>
      </c>
    </row>
    <row r="293" spans="1:8" x14ac:dyDescent="0.25">
      <c r="A293" s="13"/>
      <c r="B293" s="14"/>
      <c r="C293" s="39"/>
      <c r="D293" s="39"/>
      <c r="E293" s="36" t="str">
        <f>IF(SUM(C293:D293)=0," ",SUM(C293:D293))</f>
        <v xml:space="preserve"> </v>
      </c>
      <c r="F293" s="14"/>
      <c r="G293" s="120" t="e">
        <f>VLOOKUP($B293,Information!$C$8:$F$15,4,FALSE)</f>
        <v>#N/A</v>
      </c>
      <c r="H293" s="210" t="str">
        <f>TEXT(A293,"ddd")</f>
        <v>Sat</v>
      </c>
    </row>
    <row r="294" spans="1:8" x14ac:dyDescent="0.25">
      <c r="A294" s="13"/>
      <c r="B294" s="14"/>
      <c r="C294" s="39"/>
      <c r="D294" s="39"/>
      <c r="E294" s="36" t="str">
        <f>IF(SUM(C294:D294)=0," ",SUM(C294:D294))</f>
        <v xml:space="preserve"> </v>
      </c>
      <c r="F294" s="14"/>
      <c r="G294" s="120" t="e">
        <f>VLOOKUP($B294,Information!$C$8:$F$15,4,FALSE)</f>
        <v>#N/A</v>
      </c>
      <c r="H294" s="210" t="str">
        <f>TEXT(A294,"ddd")</f>
        <v>Sat</v>
      </c>
    </row>
    <row r="295" spans="1:8" x14ac:dyDescent="0.25">
      <c r="A295" s="15"/>
      <c r="B295" s="14"/>
      <c r="C295" s="37"/>
      <c r="D295" s="37"/>
      <c r="E295" s="36" t="str">
        <f>IF(SUM(C295:D295)=0," ",SUM(C295:D295))</f>
        <v xml:space="preserve"> </v>
      </c>
      <c r="F295" s="17"/>
      <c r="G295" s="120" t="e">
        <f>VLOOKUP($B295,Information!$C$8:$F$15,4,FALSE)</f>
        <v>#N/A</v>
      </c>
      <c r="H295" s="210" t="str">
        <f>TEXT(A295,"ddd")</f>
        <v>Sat</v>
      </c>
    </row>
    <row r="296" spans="1:8" x14ac:dyDescent="0.25">
      <c r="A296" s="13"/>
      <c r="B296" s="14"/>
      <c r="C296" s="39"/>
      <c r="D296" s="39"/>
      <c r="E296" s="36" t="str">
        <f>IF(SUM(C296:D296)=0," ",SUM(C296:D296))</f>
        <v xml:space="preserve"> </v>
      </c>
      <c r="F296" s="14"/>
      <c r="G296" s="120" t="e">
        <f>VLOOKUP($B296,Information!$C$8:$F$15,4,FALSE)</f>
        <v>#N/A</v>
      </c>
      <c r="H296" s="210" t="str">
        <f>TEXT(A296,"ddd")</f>
        <v>Sat</v>
      </c>
    </row>
    <row r="297" spans="1:8" x14ac:dyDescent="0.25">
      <c r="A297" s="13"/>
      <c r="B297" s="14"/>
      <c r="C297" s="39"/>
      <c r="D297" s="39"/>
      <c r="E297" s="36" t="str">
        <f>IF(SUM(C297:D297)=0," ",SUM(C297:D297))</f>
        <v xml:space="preserve"> </v>
      </c>
      <c r="F297" s="14"/>
      <c r="G297" s="120" t="e">
        <f>VLOOKUP($B297,Information!$C$8:$F$15,4,FALSE)</f>
        <v>#N/A</v>
      </c>
      <c r="H297" s="210" t="str">
        <f>TEXT(A297,"ddd")</f>
        <v>Sat</v>
      </c>
    </row>
    <row r="298" spans="1:8" x14ac:dyDescent="0.25">
      <c r="A298" s="13"/>
      <c r="B298" s="14"/>
      <c r="C298" s="39"/>
      <c r="D298" s="39"/>
      <c r="E298" s="36" t="str">
        <f>IF(SUM(C298:D298)=0," ",SUM(C298:D298))</f>
        <v xml:space="preserve"> </v>
      </c>
      <c r="F298" s="14"/>
      <c r="G298" s="120" t="e">
        <f>VLOOKUP($B298,Information!$C$8:$F$15,4,FALSE)</f>
        <v>#N/A</v>
      </c>
      <c r="H298" s="210" t="str">
        <f>TEXT(A298,"ddd")</f>
        <v>Sat</v>
      </c>
    </row>
    <row r="299" spans="1:8" x14ac:dyDescent="0.25">
      <c r="A299" s="13"/>
      <c r="B299" s="14"/>
      <c r="C299" s="39"/>
      <c r="D299" s="39"/>
      <c r="E299" s="36" t="str">
        <f>IF(SUM(C299:D299)=0," ",SUM(C299:D299))</f>
        <v xml:space="preserve"> </v>
      </c>
      <c r="F299" s="14"/>
      <c r="G299" s="120" t="e">
        <f>VLOOKUP($B299,Information!$C$8:$F$15,4,FALSE)</f>
        <v>#N/A</v>
      </c>
      <c r="H299" s="210" t="str">
        <f>TEXT(A299,"ddd")</f>
        <v>Sat</v>
      </c>
    </row>
    <row r="300" spans="1:8" x14ac:dyDescent="0.25">
      <c r="A300" s="13"/>
      <c r="B300" s="14"/>
      <c r="C300" s="39"/>
      <c r="D300" s="39"/>
      <c r="E300" s="36" t="str">
        <f>IF(SUM(C300:D300)=0," ",SUM(C300:D300))</f>
        <v xml:space="preserve"> </v>
      </c>
      <c r="F300" s="14"/>
      <c r="G300" s="120" t="e">
        <f>VLOOKUP($B300,Information!$C$8:$F$15,4,FALSE)</f>
        <v>#N/A</v>
      </c>
      <c r="H300" s="210" t="str">
        <f>TEXT(A300,"ddd")</f>
        <v>Sat</v>
      </c>
    </row>
    <row r="301" spans="1:8" x14ac:dyDescent="0.25">
      <c r="A301" s="13"/>
      <c r="B301" s="14"/>
      <c r="C301" s="39"/>
      <c r="D301" s="39"/>
      <c r="E301" s="36" t="str">
        <f>IF(SUM(C301:D301)=0," ",SUM(C301:D301))</f>
        <v xml:space="preserve"> </v>
      </c>
      <c r="F301" s="14"/>
      <c r="G301" s="120" t="e">
        <f>VLOOKUP($B301,Information!$C$8:$F$15,4,FALSE)</f>
        <v>#N/A</v>
      </c>
      <c r="H301" s="210" t="str">
        <f>TEXT(A301,"ddd")</f>
        <v>Sat</v>
      </c>
    </row>
    <row r="302" spans="1:8" x14ac:dyDescent="0.25">
      <c r="A302" s="13"/>
      <c r="B302" s="14"/>
      <c r="C302" s="39"/>
      <c r="D302" s="39"/>
      <c r="E302" s="36" t="str">
        <f>IF(SUM(C302:D302)=0," ",SUM(C302:D302))</f>
        <v xml:space="preserve"> </v>
      </c>
      <c r="F302" s="14"/>
      <c r="G302" s="120" t="e">
        <f>VLOOKUP($B302,Information!$C$8:$F$15,4,FALSE)</f>
        <v>#N/A</v>
      </c>
      <c r="H302" s="210" t="str">
        <f>TEXT(A302,"ddd")</f>
        <v>Sat</v>
      </c>
    </row>
    <row r="303" spans="1:8" x14ac:dyDescent="0.25">
      <c r="A303" s="13"/>
      <c r="B303" s="14"/>
      <c r="C303" s="39"/>
      <c r="D303" s="39"/>
      <c r="E303" s="36" t="str">
        <f>IF(SUM(C303:D303)=0," ",SUM(C303:D303))</f>
        <v xml:space="preserve"> </v>
      </c>
      <c r="F303" s="14"/>
      <c r="G303" s="120" t="e">
        <f>VLOOKUP($B303,Information!$C$8:$F$15,4,FALSE)</f>
        <v>#N/A</v>
      </c>
      <c r="H303" s="210" t="str">
        <f>TEXT(A303,"ddd")</f>
        <v>Sat</v>
      </c>
    </row>
    <row r="304" spans="1:8" x14ac:dyDescent="0.25">
      <c r="A304" s="13"/>
      <c r="B304" s="14"/>
      <c r="C304" s="39"/>
      <c r="D304" s="39"/>
      <c r="E304" s="36" t="str">
        <f>IF(SUM(C304:D304)=0," ",SUM(C304:D304))</f>
        <v xml:space="preserve"> </v>
      </c>
      <c r="F304" s="14"/>
      <c r="G304" s="120" t="e">
        <f>VLOOKUP($B304,Information!$C$8:$F$15,4,FALSE)</f>
        <v>#N/A</v>
      </c>
      <c r="H304" s="210" t="str">
        <f>TEXT(A304,"ddd")</f>
        <v>Sat</v>
      </c>
    </row>
    <row r="305" spans="1:8" ht="13.8" customHeight="1" x14ac:dyDescent="0.25">
      <c r="A305" s="13"/>
      <c r="B305" s="14"/>
      <c r="C305" s="39"/>
      <c r="D305" s="39"/>
      <c r="E305" s="36" t="str">
        <f>IF(SUM(C305:D305)=0," ",SUM(C305:D305))</f>
        <v xml:space="preserve"> </v>
      </c>
      <c r="F305" s="14"/>
      <c r="G305" s="120" t="e">
        <f>VLOOKUP($B305,Information!$C$8:$F$15,4,FALSE)</f>
        <v>#N/A</v>
      </c>
      <c r="H305" s="210" t="str">
        <f>TEXT(A305,"ddd")</f>
        <v>Sat</v>
      </c>
    </row>
    <row r="306" spans="1:8" x14ac:dyDescent="0.25">
      <c r="A306" s="13"/>
      <c r="B306" s="14"/>
      <c r="C306" s="39"/>
      <c r="D306" s="39"/>
      <c r="E306" s="36" t="str">
        <f>IF(SUM(C306:D306)=0," ",SUM(C306:D306))</f>
        <v xml:space="preserve"> </v>
      </c>
      <c r="F306" s="14"/>
      <c r="G306" s="120" t="e">
        <f>VLOOKUP($B306,Information!$C$8:$F$15,4,FALSE)</f>
        <v>#N/A</v>
      </c>
      <c r="H306" s="210" t="str">
        <f>TEXT(A306,"ddd")</f>
        <v>Sat</v>
      </c>
    </row>
    <row r="307" spans="1:8" ht="13.8" customHeight="1" x14ac:dyDescent="0.25">
      <c r="A307" s="13"/>
      <c r="B307" s="14"/>
      <c r="C307" s="39"/>
      <c r="D307" s="39"/>
      <c r="E307" s="36" t="str">
        <f>IF(SUM(C307:D307)=0," ",SUM(C307:D307))</f>
        <v xml:space="preserve"> </v>
      </c>
      <c r="F307" s="14"/>
      <c r="G307" s="120" t="e">
        <f>VLOOKUP($B307,Information!$C$8:$F$15,4,FALSE)</f>
        <v>#N/A</v>
      </c>
      <c r="H307" s="210" t="str">
        <f>TEXT(A307,"ddd")</f>
        <v>Sat</v>
      </c>
    </row>
    <row r="308" spans="1:8" x14ac:dyDescent="0.25">
      <c r="A308" s="13"/>
      <c r="B308" s="14"/>
      <c r="C308" s="39"/>
      <c r="D308" s="39"/>
      <c r="E308" s="36" t="str">
        <f>IF(SUM(C308:D308)=0," ",SUM(C308:D308))</f>
        <v xml:space="preserve"> </v>
      </c>
      <c r="F308" s="14"/>
      <c r="G308" s="120" t="e">
        <f>VLOOKUP($B308,Information!$C$8:$F$15,4,FALSE)</f>
        <v>#N/A</v>
      </c>
      <c r="H308" s="210" t="str">
        <f>TEXT(A308,"ddd")</f>
        <v>Sat</v>
      </c>
    </row>
    <row r="309" spans="1:8" x14ac:dyDescent="0.25">
      <c r="A309" s="13"/>
      <c r="B309" s="14"/>
      <c r="C309" s="39"/>
      <c r="D309" s="39"/>
      <c r="E309" s="36" t="str">
        <f>IF(SUM(C309:D309)=0," ",SUM(C309:D309))</f>
        <v xml:space="preserve"> </v>
      </c>
      <c r="F309" s="14"/>
      <c r="G309" s="120" t="e">
        <f>VLOOKUP($B309,Information!$C$8:$F$15,4,FALSE)</f>
        <v>#N/A</v>
      </c>
      <c r="H309" s="210" t="str">
        <f>TEXT(A309,"ddd")</f>
        <v>Sat</v>
      </c>
    </row>
    <row r="310" spans="1:8" x14ac:dyDescent="0.25">
      <c r="A310" s="13"/>
      <c r="B310" s="14"/>
      <c r="C310" s="39"/>
      <c r="D310" s="39"/>
      <c r="E310" s="36" t="str">
        <f>IF(SUM(C310:D310)=0," ",SUM(C310:D310))</f>
        <v xml:space="preserve"> </v>
      </c>
      <c r="F310" s="14"/>
      <c r="G310" s="120" t="e">
        <f>VLOOKUP($B310,Information!$C$8:$F$15,4,FALSE)</f>
        <v>#N/A</v>
      </c>
      <c r="H310" s="210" t="str">
        <f>TEXT(A310,"ddd")</f>
        <v>Sat</v>
      </c>
    </row>
    <row r="311" spans="1:8" x14ac:dyDescent="0.25">
      <c r="A311" s="13"/>
      <c r="B311" s="14"/>
      <c r="C311" s="39"/>
      <c r="D311" s="39"/>
      <c r="E311" s="36" t="str">
        <f>IF(SUM(C311:D311)=0," ",SUM(C311:D311))</f>
        <v xml:space="preserve"> </v>
      </c>
      <c r="F311" s="14"/>
      <c r="G311" s="120" t="e">
        <f>VLOOKUP($B311,Information!$C$8:$F$15,4,FALSE)</f>
        <v>#N/A</v>
      </c>
      <c r="H311" s="210" t="str">
        <f>TEXT(A311,"ddd")</f>
        <v>Sat</v>
      </c>
    </row>
    <row r="312" spans="1:8" x14ac:dyDescent="0.25">
      <c r="A312" s="13"/>
      <c r="B312" s="14"/>
      <c r="C312" s="39"/>
      <c r="D312" s="39"/>
      <c r="E312" s="36" t="str">
        <f>IF(SUM(C312:D312)=0," ",SUM(C312:D312))</f>
        <v xml:space="preserve"> </v>
      </c>
      <c r="F312" s="14"/>
      <c r="G312" s="120" t="e">
        <f>VLOOKUP($B312,Information!$C$8:$F$15,4,FALSE)</f>
        <v>#N/A</v>
      </c>
      <c r="H312" s="210" t="str">
        <f>TEXT(A312,"ddd")</f>
        <v>Sat</v>
      </c>
    </row>
    <row r="313" spans="1:8" ht="13.8" customHeight="1" x14ac:dyDescent="0.3">
      <c r="A313" s="15"/>
      <c r="B313" s="14"/>
      <c r="C313" s="37"/>
      <c r="D313" s="37"/>
      <c r="E313" s="36" t="str">
        <f>IF(SUM(C313:D313)=0," ",SUM(C313:D313))</f>
        <v xml:space="preserve"> </v>
      </c>
      <c r="F313" s="18"/>
      <c r="G313" s="120" t="e">
        <f>VLOOKUP($B313,Information!$C$8:$F$15,4,FALSE)</f>
        <v>#N/A</v>
      </c>
      <c r="H313" s="210" t="str">
        <f>TEXT(A313,"ddd")</f>
        <v>Sat</v>
      </c>
    </row>
    <row r="314" spans="1:8" x14ac:dyDescent="0.25">
      <c r="A314" s="13"/>
      <c r="B314" s="14"/>
      <c r="C314" s="39"/>
      <c r="D314" s="39"/>
      <c r="E314" s="36" t="str">
        <f>IF(SUM(C314:D314)=0," ",SUM(C314:D314))</f>
        <v xml:space="preserve"> </v>
      </c>
      <c r="F314" s="14"/>
      <c r="G314" s="120" t="e">
        <f>VLOOKUP($B314,Information!$C$8:$F$15,4,FALSE)</f>
        <v>#N/A</v>
      </c>
      <c r="H314" s="210" t="str">
        <f>TEXT(A314,"ddd")</f>
        <v>Sat</v>
      </c>
    </row>
    <row r="315" spans="1:8" x14ac:dyDescent="0.25">
      <c r="A315" s="13"/>
      <c r="B315" s="14"/>
      <c r="C315" s="39"/>
      <c r="D315" s="39"/>
      <c r="E315" s="36" t="str">
        <f>IF(SUM(C315:D315)=0," ",SUM(C315:D315))</f>
        <v xml:space="preserve"> </v>
      </c>
      <c r="F315" s="14"/>
      <c r="G315" s="120" t="e">
        <f>VLOOKUP($B315,Information!$C$8:$F$15,4,FALSE)</f>
        <v>#N/A</v>
      </c>
      <c r="H315" s="210" t="str">
        <f>TEXT(A315,"ddd")</f>
        <v>Sat</v>
      </c>
    </row>
    <row r="316" spans="1:8" ht="13.8" customHeight="1" x14ac:dyDescent="0.25">
      <c r="A316" s="13"/>
      <c r="B316" s="14"/>
      <c r="C316" s="39"/>
      <c r="D316" s="39"/>
      <c r="E316" s="36" t="str">
        <f>IF(SUM(C316:D316)=0," ",SUM(C316:D316))</f>
        <v xml:space="preserve"> </v>
      </c>
      <c r="F316" s="14"/>
      <c r="G316" s="120" t="e">
        <f>VLOOKUP($B316,Information!$C$8:$F$15,4,FALSE)</f>
        <v>#N/A</v>
      </c>
      <c r="H316" s="210" t="str">
        <f>TEXT(A316,"ddd")</f>
        <v>Sat</v>
      </c>
    </row>
    <row r="317" spans="1:8" x14ac:dyDescent="0.25">
      <c r="A317" s="13"/>
      <c r="B317" s="14"/>
      <c r="C317" s="39"/>
      <c r="D317" s="39"/>
      <c r="E317" s="36" t="str">
        <f>IF(SUM(C317:D317)=0," ",SUM(C317:D317))</f>
        <v xml:space="preserve"> </v>
      </c>
      <c r="F317" s="14"/>
      <c r="G317" s="120" t="e">
        <f>VLOOKUP($B317,Information!$C$8:$F$15,4,FALSE)</f>
        <v>#N/A</v>
      </c>
      <c r="H317" s="210" t="str">
        <f>TEXT(A317,"ddd")</f>
        <v>Sat</v>
      </c>
    </row>
    <row r="318" spans="1:8" ht="13.8" customHeight="1" x14ac:dyDescent="0.25">
      <c r="A318" s="13"/>
      <c r="B318" s="14"/>
      <c r="C318" s="39"/>
      <c r="D318" s="39"/>
      <c r="E318" s="36" t="str">
        <f>IF(SUM(C318:D318)=0," ",SUM(C318:D318))</f>
        <v xml:space="preserve"> </v>
      </c>
      <c r="F318" s="14"/>
      <c r="G318" s="120" t="e">
        <f>VLOOKUP($B318,Information!$C$8:$F$15,4,FALSE)</f>
        <v>#N/A</v>
      </c>
      <c r="H318" s="210" t="str">
        <f>TEXT(A318,"ddd")</f>
        <v>Sat</v>
      </c>
    </row>
    <row r="319" spans="1:8" x14ac:dyDescent="0.25">
      <c r="A319" s="13"/>
      <c r="B319" s="14"/>
      <c r="C319" s="39"/>
      <c r="D319" s="39"/>
      <c r="E319" s="36" t="str">
        <f>IF(SUM(C319:D319)=0," ",SUM(C319:D319))</f>
        <v xml:space="preserve"> </v>
      </c>
      <c r="F319" s="14"/>
      <c r="G319" s="120" t="e">
        <f>VLOOKUP($B319,Information!$C$8:$F$15,4,FALSE)</f>
        <v>#N/A</v>
      </c>
      <c r="H319" s="210" t="str">
        <f>TEXT(A319,"ddd")</f>
        <v>Sat</v>
      </c>
    </row>
    <row r="320" spans="1:8" x14ac:dyDescent="0.25">
      <c r="A320" s="13"/>
      <c r="B320" s="14"/>
      <c r="C320" s="39"/>
      <c r="D320" s="39"/>
      <c r="E320" s="36" t="str">
        <f>IF(SUM(C320:D320)=0," ",SUM(C320:D320))</f>
        <v xml:space="preserve"> </v>
      </c>
      <c r="F320" s="14"/>
      <c r="G320" s="120" t="e">
        <f>VLOOKUP($B320,Information!$C$8:$F$15,4,FALSE)</f>
        <v>#N/A</v>
      </c>
      <c r="H320" s="210" t="str">
        <f>TEXT(A320,"ddd")</f>
        <v>Sat</v>
      </c>
    </row>
    <row r="321" spans="1:8" x14ac:dyDescent="0.25">
      <c r="A321" s="13"/>
      <c r="B321" s="14"/>
      <c r="C321" s="39"/>
      <c r="D321" s="39"/>
      <c r="E321" s="36" t="str">
        <f>IF(SUM(C321:D321)=0," ",SUM(C321:D321))</f>
        <v xml:space="preserve"> </v>
      </c>
      <c r="F321" s="14"/>
      <c r="G321" s="120" t="e">
        <f>VLOOKUP($B321,Information!$C$8:$F$15,4,FALSE)</f>
        <v>#N/A</v>
      </c>
      <c r="H321" s="210" t="str">
        <f>TEXT(A321,"ddd")</f>
        <v>Sat</v>
      </c>
    </row>
    <row r="322" spans="1:8" x14ac:dyDescent="0.25">
      <c r="A322" s="13"/>
      <c r="B322" s="14"/>
      <c r="C322" s="39"/>
      <c r="D322" s="39"/>
      <c r="E322" s="36" t="str">
        <f>IF(SUM(C322:D322)=0," ",SUM(C322:D322))</f>
        <v xml:space="preserve"> </v>
      </c>
      <c r="F322" s="14"/>
      <c r="G322" s="120" t="e">
        <f>VLOOKUP($B322,Information!$C$8:$F$15,4,FALSE)</f>
        <v>#N/A</v>
      </c>
      <c r="H322" s="210" t="str">
        <f>TEXT(A322,"ddd")</f>
        <v>Sat</v>
      </c>
    </row>
    <row r="323" spans="1:8" x14ac:dyDescent="0.25">
      <c r="A323" s="15"/>
      <c r="B323" s="14"/>
      <c r="C323" s="37"/>
      <c r="D323" s="37"/>
      <c r="E323" s="36" t="str">
        <f>IF(SUM(C323:D323)=0," ",SUM(C323:D323))</f>
        <v xml:space="preserve"> </v>
      </c>
      <c r="F323" s="17"/>
      <c r="G323" s="120" t="e">
        <f>VLOOKUP($B323,Information!$C$8:$F$15,4,FALSE)</f>
        <v>#N/A</v>
      </c>
      <c r="H323" s="210" t="str">
        <f>TEXT(A323,"ddd")</f>
        <v>Sat</v>
      </c>
    </row>
    <row r="324" spans="1:8" x14ac:dyDescent="0.25">
      <c r="A324" s="15"/>
      <c r="B324" s="14"/>
      <c r="C324" s="37"/>
      <c r="D324" s="37"/>
      <c r="E324" s="36" t="str">
        <f>IF(SUM(C324:D324)=0," ",SUM(C324:D324))</f>
        <v xml:space="preserve"> </v>
      </c>
      <c r="F324" s="17"/>
      <c r="G324" s="120" t="e">
        <f>VLOOKUP($B324,Information!$C$8:$F$15,4,FALSE)</f>
        <v>#N/A</v>
      </c>
      <c r="H324" s="210" t="str">
        <f>TEXT(A324,"ddd")</f>
        <v>Sat</v>
      </c>
    </row>
    <row r="325" spans="1:8" x14ac:dyDescent="0.25">
      <c r="A325" s="13"/>
      <c r="B325" s="14"/>
      <c r="C325" s="39"/>
      <c r="D325" s="39"/>
      <c r="E325" s="36" t="str">
        <f>IF(SUM(C325:D325)=0," ",SUM(C325:D325))</f>
        <v xml:space="preserve"> </v>
      </c>
      <c r="F325" s="14"/>
      <c r="G325" s="120" t="e">
        <f>VLOOKUP($B325,Information!$C$8:$F$15,4,FALSE)</f>
        <v>#N/A</v>
      </c>
      <c r="H325" s="210" t="str">
        <f>TEXT(A325,"ddd")</f>
        <v>Sat</v>
      </c>
    </row>
    <row r="326" spans="1:8" ht="13.8" customHeight="1" x14ac:dyDescent="0.25">
      <c r="A326" s="13"/>
      <c r="B326" s="14"/>
      <c r="C326" s="39"/>
      <c r="D326" s="39"/>
      <c r="E326" s="36" t="str">
        <f>IF(SUM(C326:D326)=0," ",SUM(C326:D326))</f>
        <v xml:space="preserve"> </v>
      </c>
      <c r="F326" s="14"/>
      <c r="G326" s="120" t="e">
        <f>VLOOKUP($B326,Information!$C$8:$F$15,4,FALSE)</f>
        <v>#N/A</v>
      </c>
      <c r="H326" s="210" t="str">
        <f>TEXT(A326,"ddd")</f>
        <v>Sat</v>
      </c>
    </row>
    <row r="327" spans="1:8" x14ac:dyDescent="0.25">
      <c r="A327" s="13"/>
      <c r="B327" s="14"/>
      <c r="C327" s="39"/>
      <c r="D327" s="39"/>
      <c r="E327" s="36" t="str">
        <f>IF(SUM(C327:D327)=0," ",SUM(C327:D327))</f>
        <v xml:space="preserve"> </v>
      </c>
      <c r="F327" s="14"/>
      <c r="G327" s="120" t="e">
        <f>VLOOKUP($B327,Information!$C$8:$F$15,4,FALSE)</f>
        <v>#N/A</v>
      </c>
      <c r="H327" s="210" t="str">
        <f>TEXT(A327,"ddd")</f>
        <v>Sat</v>
      </c>
    </row>
    <row r="328" spans="1:8" ht="13.8" customHeight="1" x14ac:dyDescent="0.25">
      <c r="A328" s="13"/>
      <c r="B328" s="14"/>
      <c r="C328" s="39"/>
      <c r="D328" s="39"/>
      <c r="E328" s="36" t="str">
        <f>IF(SUM(C328:D328)=0," ",SUM(C328:D328))</f>
        <v xml:space="preserve"> </v>
      </c>
      <c r="F328" s="14"/>
      <c r="G328" s="120" t="e">
        <f>VLOOKUP($B328,Information!$C$8:$F$15,4,FALSE)</f>
        <v>#N/A</v>
      </c>
      <c r="H328" s="210" t="str">
        <f>TEXT(A328,"ddd")</f>
        <v>Sat</v>
      </c>
    </row>
    <row r="329" spans="1:8" x14ac:dyDescent="0.25">
      <c r="A329" s="13"/>
      <c r="B329" s="14"/>
      <c r="C329" s="39"/>
      <c r="D329" s="39"/>
      <c r="E329" s="36" t="str">
        <f>IF(SUM(C329:D329)=0," ",SUM(C329:D329))</f>
        <v xml:space="preserve"> </v>
      </c>
      <c r="F329" s="14"/>
      <c r="G329" s="120" t="e">
        <f>VLOOKUP($B329,Information!$C$8:$F$15,4,FALSE)</f>
        <v>#N/A</v>
      </c>
      <c r="H329" s="210" t="str">
        <f>TEXT(A329,"ddd")</f>
        <v>Sat</v>
      </c>
    </row>
    <row r="330" spans="1:8" x14ac:dyDescent="0.25">
      <c r="A330" s="13"/>
      <c r="B330" s="14"/>
      <c r="C330" s="39"/>
      <c r="D330" s="39"/>
      <c r="E330" s="36" t="str">
        <f>IF(SUM(C330:D330)=0," ",SUM(C330:D330))</f>
        <v xml:space="preserve"> </v>
      </c>
      <c r="F330" s="14"/>
      <c r="G330" s="120" t="e">
        <f>VLOOKUP($B330,Information!$C$8:$F$15,4,FALSE)</f>
        <v>#N/A</v>
      </c>
      <c r="H330" s="210" t="str">
        <f>TEXT(A330,"ddd")</f>
        <v>Sat</v>
      </c>
    </row>
    <row r="331" spans="1:8" x14ac:dyDescent="0.25">
      <c r="A331" s="13"/>
      <c r="B331" s="14"/>
      <c r="C331" s="39"/>
      <c r="D331" s="39"/>
      <c r="E331" s="36" t="str">
        <f>IF(SUM(C331:D331)=0," ",SUM(C331:D331))</f>
        <v xml:space="preserve"> </v>
      </c>
      <c r="F331" s="14"/>
      <c r="G331" s="120" t="e">
        <f>VLOOKUP($B331,Information!$C$8:$F$15,4,FALSE)</f>
        <v>#N/A</v>
      </c>
      <c r="H331" s="210" t="str">
        <f>TEXT(A331,"ddd")</f>
        <v>Sat</v>
      </c>
    </row>
    <row r="332" spans="1:8" x14ac:dyDescent="0.25">
      <c r="A332" s="13"/>
      <c r="B332" s="14"/>
      <c r="C332" s="39"/>
      <c r="D332" s="39"/>
      <c r="E332" s="36" t="str">
        <f>IF(SUM(C332:D332)=0," ",SUM(C332:D332))</f>
        <v xml:space="preserve"> </v>
      </c>
      <c r="F332" s="14"/>
      <c r="G332" s="120" t="e">
        <f>VLOOKUP($B332,Information!$C$8:$F$15,4,FALSE)</f>
        <v>#N/A</v>
      </c>
      <c r="H332" s="210" t="str">
        <f>TEXT(A332,"ddd")</f>
        <v>Sat</v>
      </c>
    </row>
    <row r="333" spans="1:8" ht="13.8" customHeight="1" x14ac:dyDescent="0.25">
      <c r="A333" s="13"/>
      <c r="B333" s="14"/>
      <c r="C333" s="39"/>
      <c r="D333" s="39"/>
      <c r="E333" s="36" t="str">
        <f>IF(SUM(C333:D333)=0," ",SUM(C333:D333))</f>
        <v xml:space="preserve"> </v>
      </c>
      <c r="F333" s="14"/>
      <c r="G333" s="120" t="e">
        <f>VLOOKUP($B333,Information!$C$8:$F$15,4,FALSE)</f>
        <v>#N/A</v>
      </c>
      <c r="H333" s="210" t="str">
        <f>TEXT(A333,"ddd")</f>
        <v>Sat</v>
      </c>
    </row>
    <row r="334" spans="1:8" ht="14.4" customHeight="1" x14ac:dyDescent="0.25">
      <c r="A334" s="13"/>
      <c r="B334" s="14"/>
      <c r="C334" s="39"/>
      <c r="D334" s="39"/>
      <c r="E334" s="36" t="str">
        <f>IF(SUM(C334:D334)=0," ",SUM(C334:D334))</f>
        <v xml:space="preserve"> </v>
      </c>
      <c r="F334" s="14"/>
      <c r="G334" s="120" t="e">
        <f>VLOOKUP($B334,Information!$C$8:$F$15,4,FALSE)</f>
        <v>#N/A</v>
      </c>
      <c r="H334" s="210" t="str">
        <f>TEXT(A334,"ddd")</f>
        <v>Sat</v>
      </c>
    </row>
    <row r="335" spans="1:8" ht="14.4" customHeight="1" x14ac:dyDescent="0.25">
      <c r="A335" s="13"/>
      <c r="B335" s="14"/>
      <c r="C335" s="39"/>
      <c r="D335" s="39"/>
      <c r="E335" s="36" t="str">
        <f>IF(SUM(C335:D335)=0," ",SUM(C335:D335))</f>
        <v xml:space="preserve"> </v>
      </c>
      <c r="F335" s="14"/>
      <c r="G335" s="120" t="e">
        <f>VLOOKUP($B335,Information!$C$8:$F$15,4,FALSE)</f>
        <v>#N/A</v>
      </c>
      <c r="H335" s="210" t="str">
        <f>TEXT(A335,"ddd")</f>
        <v>Sat</v>
      </c>
    </row>
    <row r="336" spans="1:8" ht="13.8" customHeight="1" x14ac:dyDescent="0.3">
      <c r="A336" s="15"/>
      <c r="B336" s="14"/>
      <c r="C336" s="37"/>
      <c r="D336" s="37"/>
      <c r="E336" s="36" t="str">
        <f>IF(SUM(C336:D336)=0," ",SUM(C336:D336))</f>
        <v xml:space="preserve"> </v>
      </c>
      <c r="F336" s="18"/>
      <c r="G336" s="120" t="e">
        <f>VLOOKUP($B336,Information!$C$8:$F$15,4,FALSE)</f>
        <v>#N/A</v>
      </c>
      <c r="H336" s="210" t="str">
        <f>TEXT(A336,"ddd")</f>
        <v>Sat</v>
      </c>
    </row>
    <row r="337" spans="1:8" ht="13.8" customHeight="1" x14ac:dyDescent="0.25">
      <c r="A337" s="13"/>
      <c r="B337" s="14"/>
      <c r="C337" s="39"/>
      <c r="D337" s="39"/>
      <c r="E337" s="36" t="str">
        <f>IF(SUM(C337:D337)=0," ",SUM(C337:D337))</f>
        <v xml:space="preserve"> </v>
      </c>
      <c r="F337" s="14"/>
      <c r="G337" s="120" t="e">
        <f>VLOOKUP($B337,Information!$C$8:$F$15,4,FALSE)</f>
        <v>#N/A</v>
      </c>
      <c r="H337" s="210" t="str">
        <f>TEXT(A337,"ddd")</f>
        <v>Sat</v>
      </c>
    </row>
    <row r="338" spans="1:8" ht="13.8" customHeight="1" x14ac:dyDescent="0.25">
      <c r="A338" s="13"/>
      <c r="B338" s="14"/>
      <c r="C338" s="39"/>
      <c r="D338" s="39"/>
      <c r="E338" s="36" t="str">
        <f>IF(SUM(C338:D338)=0," ",SUM(C338:D338))</f>
        <v xml:space="preserve"> </v>
      </c>
      <c r="F338" s="14"/>
      <c r="G338" s="120" t="e">
        <f>VLOOKUP($B338,Information!$C$8:$F$15,4,FALSE)</f>
        <v>#N/A</v>
      </c>
      <c r="H338" s="210" t="str">
        <f>TEXT(A338,"ddd")</f>
        <v>Sat</v>
      </c>
    </row>
    <row r="339" spans="1:8" x14ac:dyDescent="0.25">
      <c r="A339" s="13"/>
      <c r="B339" s="14"/>
      <c r="C339" s="39"/>
      <c r="D339" s="39"/>
      <c r="E339" s="36" t="str">
        <f>IF(SUM(C339:D339)=0," ",SUM(C339:D339))</f>
        <v xml:space="preserve"> </v>
      </c>
      <c r="F339" s="14"/>
      <c r="G339" s="120" t="e">
        <f>VLOOKUP($B339,Information!$C$8:$F$15,4,FALSE)</f>
        <v>#N/A</v>
      </c>
      <c r="H339" s="210" t="str">
        <f>TEXT(A339,"ddd")</f>
        <v>Sat</v>
      </c>
    </row>
    <row r="340" spans="1:8" x14ac:dyDescent="0.25">
      <c r="A340" s="13"/>
      <c r="B340" s="14"/>
      <c r="C340" s="39"/>
      <c r="D340" s="39"/>
      <c r="E340" s="36" t="str">
        <f>IF(SUM(C340:D340)=0," ",SUM(C340:D340))</f>
        <v xml:space="preserve"> </v>
      </c>
      <c r="F340" s="14"/>
      <c r="G340" s="120" t="e">
        <f>VLOOKUP($B340,Information!$C$8:$F$15,4,FALSE)</f>
        <v>#N/A</v>
      </c>
      <c r="H340" s="210" t="str">
        <f>TEXT(A340,"ddd")</f>
        <v>Sat</v>
      </c>
    </row>
    <row r="341" spans="1:8" x14ac:dyDescent="0.25">
      <c r="A341" s="13"/>
      <c r="B341" s="14"/>
      <c r="C341" s="39"/>
      <c r="D341" s="39"/>
      <c r="E341" s="36" t="str">
        <f>IF(SUM(C341:D341)=0," ",SUM(C341:D341))</f>
        <v xml:space="preserve"> </v>
      </c>
      <c r="F341" s="14"/>
      <c r="G341" s="120" t="e">
        <f>VLOOKUP($B341,Information!$C$8:$F$15,4,FALSE)</f>
        <v>#N/A</v>
      </c>
      <c r="H341" s="210" t="str">
        <f>TEXT(A341,"ddd")</f>
        <v>Sat</v>
      </c>
    </row>
    <row r="342" spans="1:8" x14ac:dyDescent="0.25">
      <c r="A342" s="13"/>
      <c r="B342" s="14"/>
      <c r="C342" s="39"/>
      <c r="D342" s="39"/>
      <c r="E342" s="36" t="str">
        <f>IF(SUM(C342:D342)=0," ",SUM(C342:D342))</f>
        <v xml:space="preserve"> </v>
      </c>
      <c r="F342" s="14"/>
      <c r="G342" s="120" t="e">
        <f>VLOOKUP($B342,Information!$C$8:$F$15,4,FALSE)</f>
        <v>#N/A</v>
      </c>
      <c r="H342" s="210" t="str">
        <f>TEXT(A342,"ddd")</f>
        <v>Sat</v>
      </c>
    </row>
    <row r="343" spans="1:8" x14ac:dyDescent="0.25">
      <c r="A343" s="13"/>
      <c r="B343" s="14"/>
      <c r="C343" s="39"/>
      <c r="D343" s="39"/>
      <c r="E343" s="36" t="str">
        <f>IF(SUM(C343:D343)=0," ",SUM(C343:D343))</f>
        <v xml:space="preserve"> </v>
      </c>
      <c r="F343" s="14"/>
      <c r="G343" s="120" t="e">
        <f>VLOOKUP($B343,Information!$C$8:$F$15,4,FALSE)</f>
        <v>#N/A</v>
      </c>
      <c r="H343" s="210" t="str">
        <f>TEXT(A343,"ddd")</f>
        <v>Sat</v>
      </c>
    </row>
    <row r="344" spans="1:8" ht="13.8" customHeight="1" x14ac:dyDescent="0.25">
      <c r="A344" s="13"/>
      <c r="B344" s="14"/>
      <c r="C344" s="39"/>
      <c r="D344" s="39"/>
      <c r="E344" s="36" t="str">
        <f>IF(SUM(C344:D344)=0," ",SUM(C344:D344))</f>
        <v xml:space="preserve"> </v>
      </c>
      <c r="F344" s="14"/>
      <c r="G344" s="120" t="e">
        <f>VLOOKUP($B344,Information!$C$8:$F$15,4,FALSE)</f>
        <v>#N/A</v>
      </c>
      <c r="H344" s="210" t="str">
        <f>TEXT(A344,"ddd")</f>
        <v>Sat</v>
      </c>
    </row>
    <row r="345" spans="1:8" x14ac:dyDescent="0.25">
      <c r="A345" s="13"/>
      <c r="B345" s="14"/>
      <c r="C345" s="39"/>
      <c r="D345" s="39"/>
      <c r="E345" s="36" t="str">
        <f>IF(SUM(C345:D345)=0," ",SUM(C345:D345))</f>
        <v xml:space="preserve"> </v>
      </c>
      <c r="F345" s="14"/>
      <c r="G345" s="120" t="e">
        <f>VLOOKUP($B345,Information!$C$8:$F$15,4,FALSE)</f>
        <v>#N/A</v>
      </c>
      <c r="H345" s="210" t="str">
        <f>TEXT(A345,"ddd")</f>
        <v>Sat</v>
      </c>
    </row>
    <row r="346" spans="1:8" x14ac:dyDescent="0.25">
      <c r="A346" s="13"/>
      <c r="B346" s="14"/>
      <c r="C346" s="39"/>
      <c r="D346" s="39"/>
      <c r="E346" s="36" t="str">
        <f>IF(SUM(C346:D346)=0," ",SUM(C346:D346))</f>
        <v xml:space="preserve"> </v>
      </c>
      <c r="F346" s="14"/>
      <c r="G346" s="120" t="e">
        <f>VLOOKUP($B346,Information!$C$8:$F$15,4,FALSE)</f>
        <v>#N/A</v>
      </c>
      <c r="H346" s="210" t="str">
        <f>TEXT(A346,"ddd")</f>
        <v>Sat</v>
      </c>
    </row>
    <row r="347" spans="1:8" x14ac:dyDescent="0.25">
      <c r="A347" s="13"/>
      <c r="B347" s="14"/>
      <c r="C347" s="39"/>
      <c r="D347" s="39"/>
      <c r="E347" s="36" t="str">
        <f>IF(SUM(C347:D347)=0," ",SUM(C347:D347))</f>
        <v xml:space="preserve"> </v>
      </c>
      <c r="F347" s="14"/>
      <c r="G347" s="120" t="e">
        <f>VLOOKUP($B347,Information!$C$8:$F$15,4,FALSE)</f>
        <v>#N/A</v>
      </c>
      <c r="H347" s="210" t="str">
        <f>TEXT(A347,"ddd")</f>
        <v>Sat</v>
      </c>
    </row>
    <row r="348" spans="1:8" ht="13.8" customHeight="1" x14ac:dyDescent="0.25">
      <c r="A348" s="13"/>
      <c r="B348" s="14"/>
      <c r="C348" s="39"/>
      <c r="D348" s="39"/>
      <c r="E348" s="36" t="str">
        <f>IF(SUM(C348:D348)=0," ",SUM(C348:D348))</f>
        <v xml:space="preserve"> </v>
      </c>
      <c r="F348" s="14"/>
      <c r="G348" s="120" t="e">
        <f>VLOOKUP($B348,Information!$C$8:$F$15,4,FALSE)</f>
        <v>#N/A</v>
      </c>
      <c r="H348" s="210" t="str">
        <f>TEXT(A348,"ddd")</f>
        <v>Sat</v>
      </c>
    </row>
    <row r="349" spans="1:8" x14ac:dyDescent="0.25">
      <c r="A349" s="13"/>
      <c r="B349" s="14"/>
      <c r="C349" s="39"/>
      <c r="D349" s="39"/>
      <c r="E349" s="36" t="str">
        <f>IF(SUM(C349:D349)=0," ",SUM(C349:D349))</f>
        <v xml:space="preserve"> </v>
      </c>
      <c r="F349" s="14"/>
      <c r="G349" s="120" t="e">
        <f>VLOOKUP($B349,Information!$C$8:$F$15,4,FALSE)</f>
        <v>#N/A</v>
      </c>
      <c r="H349" s="210" t="str">
        <f>TEXT(A349,"ddd")</f>
        <v>Sat</v>
      </c>
    </row>
    <row r="350" spans="1:8" x14ac:dyDescent="0.25">
      <c r="A350" s="13"/>
      <c r="B350" s="14"/>
      <c r="C350" s="39"/>
      <c r="D350" s="39"/>
      <c r="E350" s="36" t="str">
        <f>IF(SUM(C350:D350)=0," ",SUM(C350:D350))</f>
        <v xml:space="preserve"> </v>
      </c>
      <c r="F350" s="14"/>
      <c r="G350" s="120" t="e">
        <f>VLOOKUP($B350,Information!$C$8:$F$15,4,FALSE)</f>
        <v>#N/A</v>
      </c>
      <c r="H350" s="210" t="str">
        <f>TEXT(A350,"ddd")</f>
        <v>Sat</v>
      </c>
    </row>
    <row r="351" spans="1:8" ht="13.8" customHeight="1" x14ac:dyDescent="0.25">
      <c r="A351" s="13"/>
      <c r="B351" s="14"/>
      <c r="C351" s="39"/>
      <c r="D351" s="39"/>
      <c r="E351" s="36" t="str">
        <f>IF(SUM(C351:D351)=0," ",SUM(C351:D351))</f>
        <v xml:space="preserve"> </v>
      </c>
      <c r="F351" s="14"/>
      <c r="G351" s="120" t="e">
        <f>VLOOKUP($B351,Information!$C$8:$F$15,4,FALSE)</f>
        <v>#N/A</v>
      </c>
      <c r="H351" s="210" t="str">
        <f>TEXT(A351,"ddd")</f>
        <v>Sat</v>
      </c>
    </row>
    <row r="352" spans="1:8" ht="13.8" customHeight="1" x14ac:dyDescent="0.3">
      <c r="A352" s="15"/>
      <c r="B352" s="14"/>
      <c r="C352" s="37"/>
      <c r="D352" s="37"/>
      <c r="E352" s="36" t="str">
        <f>IF(SUM(C352:D352)=0," ",SUM(C352:D352))</f>
        <v xml:space="preserve"> </v>
      </c>
      <c r="F352" s="18"/>
      <c r="G352" s="120" t="e">
        <f>VLOOKUP($B352,Information!$C$8:$F$15,4,FALSE)</f>
        <v>#N/A</v>
      </c>
      <c r="H352" s="210" t="str">
        <f>TEXT(A352,"ddd")</f>
        <v>Sat</v>
      </c>
    </row>
    <row r="353" spans="1:8" x14ac:dyDescent="0.25">
      <c r="A353" s="13"/>
      <c r="B353" s="14"/>
      <c r="C353" s="39"/>
      <c r="D353" s="39"/>
      <c r="E353" s="36" t="str">
        <f>IF(SUM(C353:D353)=0," ",SUM(C353:D353))</f>
        <v xml:space="preserve"> </v>
      </c>
      <c r="F353" s="14"/>
      <c r="G353" s="120" t="e">
        <f>VLOOKUP($B353,Information!$C$8:$F$15,4,FALSE)</f>
        <v>#N/A</v>
      </c>
      <c r="H353" s="210" t="str">
        <f>TEXT(A353,"ddd")</f>
        <v>Sat</v>
      </c>
    </row>
    <row r="354" spans="1:8" x14ac:dyDescent="0.25">
      <c r="A354" s="13"/>
      <c r="B354" s="14"/>
      <c r="C354" s="39"/>
      <c r="D354" s="39"/>
      <c r="E354" s="36" t="str">
        <f>IF(SUM(C354:D354)=0," ",SUM(C354:D354))</f>
        <v xml:space="preserve"> </v>
      </c>
      <c r="F354" s="14"/>
      <c r="G354" s="120" t="e">
        <f>VLOOKUP($B354,Information!$C$8:$F$15,4,FALSE)</f>
        <v>#N/A</v>
      </c>
      <c r="H354" s="210" t="str">
        <f>TEXT(A354,"ddd")</f>
        <v>Sat</v>
      </c>
    </row>
    <row r="355" spans="1:8" x14ac:dyDescent="0.25">
      <c r="A355" s="13"/>
      <c r="B355" s="14"/>
      <c r="C355" s="39"/>
      <c r="D355" s="39"/>
      <c r="E355" s="36" t="str">
        <f>IF(SUM(C355:D355)=0," ",SUM(C355:D355))</f>
        <v xml:space="preserve"> </v>
      </c>
      <c r="F355" s="14"/>
      <c r="G355" s="120" t="e">
        <f>VLOOKUP($B355,Information!$C$8:$F$15,4,FALSE)</f>
        <v>#N/A</v>
      </c>
      <c r="H355" s="210" t="str">
        <f>TEXT(A355,"ddd")</f>
        <v>Sat</v>
      </c>
    </row>
    <row r="356" spans="1:8" x14ac:dyDescent="0.25">
      <c r="A356" s="13"/>
      <c r="B356" s="14"/>
      <c r="C356" s="39"/>
      <c r="D356" s="39"/>
      <c r="E356" s="36" t="str">
        <f>IF(SUM(C356:D356)=0," ",SUM(C356:D356))</f>
        <v xml:space="preserve"> </v>
      </c>
      <c r="F356" s="14"/>
      <c r="G356" s="120" t="e">
        <f>VLOOKUP($B356,Information!$C$8:$F$15,4,FALSE)</f>
        <v>#N/A</v>
      </c>
      <c r="H356" s="210" t="str">
        <f>TEXT(A356,"ddd")</f>
        <v>Sat</v>
      </c>
    </row>
    <row r="357" spans="1:8" x14ac:dyDescent="0.25">
      <c r="A357" s="15"/>
      <c r="B357" s="14"/>
      <c r="C357" s="37"/>
      <c r="D357" s="37"/>
      <c r="E357" s="36" t="str">
        <f>IF(SUM(C357:D357)=0," ",SUM(C357:D357))</f>
        <v xml:space="preserve"> </v>
      </c>
      <c r="F357" s="17"/>
      <c r="G357" s="120" t="e">
        <f>VLOOKUP($B357,Information!$C$8:$F$15,4,FALSE)</f>
        <v>#N/A</v>
      </c>
      <c r="H357" s="210" t="str">
        <f>TEXT(A357,"ddd")</f>
        <v>Sat</v>
      </c>
    </row>
    <row r="358" spans="1:8" x14ac:dyDescent="0.25">
      <c r="A358" s="13"/>
      <c r="B358" s="14"/>
      <c r="C358" s="39"/>
      <c r="D358" s="39"/>
      <c r="E358" s="36" t="str">
        <f>IF(SUM(C358:D358)=0," ",SUM(C358:D358))</f>
        <v xml:space="preserve"> </v>
      </c>
      <c r="F358" s="14"/>
      <c r="G358" s="120" t="e">
        <f>VLOOKUP($B358,Information!$C$8:$F$15,4,FALSE)</f>
        <v>#N/A</v>
      </c>
      <c r="H358" s="210" t="str">
        <f>TEXT(A358,"ddd")</f>
        <v>Sat</v>
      </c>
    </row>
    <row r="359" spans="1:8" ht="13.8" customHeight="1" x14ac:dyDescent="0.3">
      <c r="A359" s="15"/>
      <c r="B359" s="14"/>
      <c r="C359" s="37"/>
      <c r="D359" s="37"/>
      <c r="E359" s="36" t="str">
        <f>IF(SUM(C359:D359)=0," ",SUM(C359:D359))</f>
        <v xml:space="preserve"> </v>
      </c>
      <c r="F359" s="18"/>
      <c r="G359" s="120" t="e">
        <f>VLOOKUP($B359,Information!$C$8:$F$15,4,FALSE)</f>
        <v>#N/A</v>
      </c>
      <c r="H359" s="210" t="str">
        <f>TEXT(A359,"ddd")</f>
        <v>Sat</v>
      </c>
    </row>
    <row r="360" spans="1:8" ht="13.8" customHeight="1" x14ac:dyDescent="0.3">
      <c r="A360" s="13"/>
      <c r="B360" s="14"/>
      <c r="C360" s="39"/>
      <c r="D360" s="39"/>
      <c r="E360" s="36" t="str">
        <f>IF(SUM(C360:D360)=0," ",SUM(C360:D360))</f>
        <v xml:space="preserve"> </v>
      </c>
      <c r="F360" s="18"/>
      <c r="G360" s="120" t="e">
        <f>VLOOKUP($B360,Information!$C$8:$F$15,4,FALSE)</f>
        <v>#N/A</v>
      </c>
      <c r="H360" s="210" t="str">
        <f>TEXT(A360,"ddd")</f>
        <v>Sat</v>
      </c>
    </row>
    <row r="361" spans="1:8" ht="13.8" customHeight="1" x14ac:dyDescent="0.3">
      <c r="A361" s="13"/>
      <c r="B361" s="14"/>
      <c r="C361" s="39"/>
      <c r="D361" s="39"/>
      <c r="E361" s="36" t="str">
        <f>IF(SUM(C361:D361)=0," ",SUM(C361:D361))</f>
        <v xml:space="preserve"> </v>
      </c>
      <c r="F361" s="18"/>
      <c r="G361" s="120" t="e">
        <f>VLOOKUP($B361,Information!$C$8:$F$15,4,FALSE)</f>
        <v>#N/A</v>
      </c>
      <c r="H361" s="210" t="str">
        <f>TEXT(A361,"ddd")</f>
        <v>Sat</v>
      </c>
    </row>
    <row r="362" spans="1:8" ht="13.8" customHeight="1" x14ac:dyDescent="0.3">
      <c r="A362" s="15"/>
      <c r="B362" s="14"/>
      <c r="C362" s="37"/>
      <c r="D362" s="37"/>
      <c r="E362" s="36" t="str">
        <f>IF(SUM(C362:D362)=0," ",SUM(C362:D362))</f>
        <v xml:space="preserve"> </v>
      </c>
      <c r="F362" s="18"/>
      <c r="G362" s="120" t="e">
        <f>VLOOKUP($B362,Information!$C$8:$F$15,4,FALSE)</f>
        <v>#N/A</v>
      </c>
      <c r="H362" s="210" t="str">
        <f>TEXT(A362,"ddd")</f>
        <v>Sat</v>
      </c>
    </row>
    <row r="363" spans="1:8" x14ac:dyDescent="0.25">
      <c r="A363" s="15"/>
      <c r="B363" s="14"/>
      <c r="C363" s="37"/>
      <c r="D363" s="37"/>
      <c r="E363" s="36" t="str">
        <f>IF(SUM(C363:D363)=0," ",SUM(C363:D363))</f>
        <v xml:space="preserve"> </v>
      </c>
      <c r="F363" s="16"/>
      <c r="G363" s="120" t="e">
        <f>VLOOKUP($B363,Information!$C$8:$F$15,4,FALSE)</f>
        <v>#N/A</v>
      </c>
      <c r="H363" s="210" t="str">
        <f>TEXT(A363,"ddd")</f>
        <v>Sat</v>
      </c>
    </row>
    <row r="364" spans="1:8" x14ac:dyDescent="0.25">
      <c r="A364" s="13"/>
      <c r="B364" s="14"/>
      <c r="C364" s="39"/>
      <c r="D364" s="39"/>
      <c r="E364" s="36" t="str">
        <f>IF(SUM(C364:D364)=0," ",SUM(C364:D364))</f>
        <v xml:space="preserve"> </v>
      </c>
      <c r="F364" s="14"/>
      <c r="G364" s="120" t="e">
        <f>VLOOKUP($B364,Information!$C$8:$F$15,4,FALSE)</f>
        <v>#N/A</v>
      </c>
      <c r="H364" s="210" t="str">
        <f>TEXT(A364,"ddd")</f>
        <v>Sat</v>
      </c>
    </row>
    <row r="365" spans="1:8" x14ac:dyDescent="0.25">
      <c r="A365" s="13"/>
      <c r="B365" s="14"/>
      <c r="C365" s="39"/>
      <c r="D365" s="39"/>
      <c r="E365" s="36" t="str">
        <f>IF(SUM(C365:D365)=0," ",SUM(C365:D365))</f>
        <v xml:space="preserve"> </v>
      </c>
      <c r="F365" s="14"/>
      <c r="G365" s="120" t="e">
        <f>VLOOKUP($B365,Information!$C$8:$F$15,4,FALSE)</f>
        <v>#N/A</v>
      </c>
      <c r="H365" s="210" t="str">
        <f>TEXT(A365,"ddd")</f>
        <v>Sat</v>
      </c>
    </row>
    <row r="366" spans="1:8" x14ac:dyDescent="0.25">
      <c r="A366" s="13"/>
      <c r="B366" s="14"/>
      <c r="C366" s="39"/>
      <c r="D366" s="39"/>
      <c r="E366" s="36" t="str">
        <f>IF(SUM(C366:D366)=0," ",SUM(C366:D366))</f>
        <v xml:space="preserve"> </v>
      </c>
      <c r="F366" s="14"/>
      <c r="G366" s="120" t="e">
        <f>VLOOKUP($B366,Information!$C$8:$F$15,4,FALSE)</f>
        <v>#N/A</v>
      </c>
      <c r="H366" s="210" t="str">
        <f>TEXT(A366,"ddd")</f>
        <v>Sat</v>
      </c>
    </row>
    <row r="367" spans="1:8" x14ac:dyDescent="0.25">
      <c r="A367" s="13"/>
      <c r="B367" s="14"/>
      <c r="C367" s="39"/>
      <c r="D367" s="39"/>
      <c r="E367" s="36" t="str">
        <f>IF(SUM(C367:D367)=0," ",SUM(C367:D367))</f>
        <v xml:space="preserve"> </v>
      </c>
      <c r="F367" s="14"/>
      <c r="G367" s="120" t="e">
        <f>VLOOKUP($B367,Information!$C$8:$F$15,4,FALSE)</f>
        <v>#N/A</v>
      </c>
      <c r="H367" s="210" t="str">
        <f>TEXT(A367,"ddd")</f>
        <v>Sat</v>
      </c>
    </row>
    <row r="368" spans="1:8" ht="13.8" customHeight="1" x14ac:dyDescent="0.25">
      <c r="A368" s="13"/>
      <c r="B368" s="14"/>
      <c r="C368" s="39"/>
      <c r="D368" s="39"/>
      <c r="E368" s="36" t="str">
        <f>IF(SUM(C368:D368)=0," ",SUM(C368:D368))</f>
        <v xml:space="preserve"> </v>
      </c>
      <c r="F368" s="14"/>
      <c r="G368" s="120" t="e">
        <f>VLOOKUP($B368,Information!$C$8:$F$15,4,FALSE)</f>
        <v>#N/A</v>
      </c>
      <c r="H368" s="210" t="str">
        <f>TEXT(A368,"ddd")</f>
        <v>Sat</v>
      </c>
    </row>
    <row r="369" spans="1:8" ht="13.8" customHeight="1" x14ac:dyDescent="0.25">
      <c r="A369" s="13"/>
      <c r="B369" s="14"/>
      <c r="C369" s="39"/>
      <c r="D369" s="39"/>
      <c r="E369" s="36" t="str">
        <f>IF(SUM(C369:D369)=0," ",SUM(C369:D369))</f>
        <v xml:space="preserve"> </v>
      </c>
      <c r="F369" s="14"/>
      <c r="G369" s="120" t="e">
        <f>VLOOKUP($B369,Information!$C$8:$F$15,4,FALSE)</f>
        <v>#N/A</v>
      </c>
      <c r="H369" s="210" t="str">
        <f>TEXT(A369,"ddd")</f>
        <v>Sat</v>
      </c>
    </row>
    <row r="370" spans="1:8" x14ac:dyDescent="0.25">
      <c r="A370" s="13"/>
      <c r="B370" s="14"/>
      <c r="C370" s="39"/>
      <c r="D370" s="39"/>
      <c r="E370" s="36" t="str">
        <f>IF(SUM(C370:D370)=0," ",SUM(C370:D370))</f>
        <v xml:space="preserve"> </v>
      </c>
      <c r="F370" s="14"/>
      <c r="G370" s="120" t="e">
        <f>VLOOKUP($B370,Information!$C$8:$F$15,4,FALSE)</f>
        <v>#N/A</v>
      </c>
      <c r="H370" s="210" t="str">
        <f>TEXT(A370,"ddd")</f>
        <v>Sat</v>
      </c>
    </row>
    <row r="371" spans="1:8" ht="13.8" customHeight="1" x14ac:dyDescent="0.25">
      <c r="A371" s="13"/>
      <c r="B371" s="14"/>
      <c r="C371" s="39"/>
      <c r="D371" s="39"/>
      <c r="E371" s="36" t="str">
        <f>IF(SUM(C371:D371)=0," ",SUM(C371:D371))</f>
        <v xml:space="preserve"> </v>
      </c>
      <c r="F371" s="14"/>
      <c r="G371" s="120" t="e">
        <f>VLOOKUP($B371,Information!$C$8:$F$15,4,FALSE)</f>
        <v>#N/A</v>
      </c>
      <c r="H371" s="210" t="str">
        <f>TEXT(A371,"ddd")</f>
        <v>Sat</v>
      </c>
    </row>
    <row r="372" spans="1:8" x14ac:dyDescent="0.25">
      <c r="A372" s="13"/>
      <c r="B372" s="14"/>
      <c r="C372" s="39"/>
      <c r="D372" s="39"/>
      <c r="E372" s="36" t="str">
        <f>IF(SUM(C372:D372)=0," ",SUM(C372:D372))</f>
        <v xml:space="preserve"> </v>
      </c>
      <c r="F372" s="14"/>
      <c r="G372" s="120" t="e">
        <f>VLOOKUP($B372,Information!$C$8:$F$15,4,FALSE)</f>
        <v>#N/A</v>
      </c>
      <c r="H372" s="210" t="str">
        <f>TEXT(A372,"ddd")</f>
        <v>Sat</v>
      </c>
    </row>
    <row r="373" spans="1:8" ht="13.8" customHeight="1" x14ac:dyDescent="0.25">
      <c r="A373" s="13"/>
      <c r="B373" s="14"/>
      <c r="C373" s="39"/>
      <c r="D373" s="39"/>
      <c r="E373" s="36" t="str">
        <f>IF(SUM(C373:D373)=0," ",SUM(C373:D373))</f>
        <v xml:space="preserve"> </v>
      </c>
      <c r="F373" s="14"/>
      <c r="G373" s="120" t="e">
        <f>VLOOKUP($B373,Information!$C$8:$F$15,4,FALSE)</f>
        <v>#N/A</v>
      </c>
      <c r="H373" s="210" t="str">
        <f>TEXT(A373,"ddd")</f>
        <v>Sat</v>
      </c>
    </row>
    <row r="374" spans="1:8" x14ac:dyDescent="0.25">
      <c r="A374" s="13"/>
      <c r="B374" s="14"/>
      <c r="C374" s="39"/>
      <c r="D374" s="39"/>
      <c r="E374" s="36" t="str">
        <f>IF(SUM(C374:D374)=0," ",SUM(C374:D374))</f>
        <v xml:space="preserve"> </v>
      </c>
      <c r="F374" s="14"/>
      <c r="G374" s="120" t="e">
        <f>VLOOKUP($B374,Information!$C$8:$F$15,4,FALSE)</f>
        <v>#N/A</v>
      </c>
      <c r="H374" s="210" t="str">
        <f>TEXT(A374,"ddd")</f>
        <v>Sat</v>
      </c>
    </row>
    <row r="375" spans="1:8" ht="13.8" customHeight="1" x14ac:dyDescent="0.25">
      <c r="A375" s="13"/>
      <c r="B375" s="14"/>
      <c r="C375" s="39"/>
      <c r="D375" s="39"/>
      <c r="E375" s="36" t="str">
        <f>IF(SUM(C375:D375)=0," ",SUM(C375:D375))</f>
        <v xml:space="preserve"> </v>
      </c>
      <c r="F375" s="14"/>
      <c r="G375" s="120" t="e">
        <f>VLOOKUP($B375,Information!$C$8:$F$15,4,FALSE)</f>
        <v>#N/A</v>
      </c>
      <c r="H375" s="210" t="str">
        <f>TEXT(A375,"ddd")</f>
        <v>Sat</v>
      </c>
    </row>
    <row r="376" spans="1:8" ht="13.8" customHeight="1" x14ac:dyDescent="0.25">
      <c r="A376" s="13"/>
      <c r="B376" s="14"/>
      <c r="C376" s="39"/>
      <c r="D376" s="39"/>
      <c r="E376" s="36" t="str">
        <f>IF(SUM(C376:D376)=0," ",SUM(C376:D376))</f>
        <v xml:space="preserve"> </v>
      </c>
      <c r="F376" s="14"/>
      <c r="G376" s="120" t="e">
        <f>VLOOKUP($B376,Information!$C$8:$F$15,4,FALSE)</f>
        <v>#N/A</v>
      </c>
      <c r="H376" s="210" t="str">
        <f>TEXT(A376,"ddd")</f>
        <v>Sat</v>
      </c>
    </row>
    <row r="377" spans="1:8" ht="13.8" customHeight="1" x14ac:dyDescent="0.25">
      <c r="A377" s="13"/>
      <c r="B377" s="14"/>
      <c r="C377" s="39"/>
      <c r="D377" s="39"/>
      <c r="E377" s="36" t="str">
        <f>IF(SUM(C377:D377)=0," ",SUM(C377:D377))</f>
        <v xml:space="preserve"> </v>
      </c>
      <c r="F377" s="14"/>
      <c r="G377" s="120" t="e">
        <f>VLOOKUP($B377,Information!$C$8:$F$15,4,FALSE)</f>
        <v>#N/A</v>
      </c>
      <c r="H377" s="210" t="str">
        <f>TEXT(A377,"ddd")</f>
        <v>Sat</v>
      </c>
    </row>
    <row r="378" spans="1:8" x14ac:dyDescent="0.25">
      <c r="A378" s="13"/>
      <c r="B378" s="14"/>
      <c r="C378" s="39"/>
      <c r="D378" s="39"/>
      <c r="E378" s="36" t="str">
        <f>IF(SUM(C378:D378)=0," ",SUM(C378:D378))</f>
        <v xml:space="preserve"> </v>
      </c>
      <c r="F378" s="14"/>
      <c r="G378" s="120" t="e">
        <f>VLOOKUP($B378,Information!$C$8:$F$15,4,FALSE)</f>
        <v>#N/A</v>
      </c>
      <c r="H378" s="210" t="str">
        <f>TEXT(A378,"ddd")</f>
        <v>Sat</v>
      </c>
    </row>
    <row r="379" spans="1:8" ht="13.8" customHeight="1" x14ac:dyDescent="0.25">
      <c r="A379" s="13"/>
      <c r="B379" s="14"/>
      <c r="C379" s="39"/>
      <c r="D379" s="39"/>
      <c r="E379" s="36" t="str">
        <f>IF(SUM(C379:D379)=0," ",SUM(C379:D379))</f>
        <v xml:space="preserve"> </v>
      </c>
      <c r="F379" s="14"/>
      <c r="G379" s="120" t="e">
        <f>VLOOKUP($B379,Information!$C$8:$F$15,4,FALSE)</f>
        <v>#N/A</v>
      </c>
      <c r="H379" s="210" t="str">
        <f>TEXT(A379,"ddd")</f>
        <v>Sat</v>
      </c>
    </row>
    <row r="380" spans="1:8" x14ac:dyDescent="0.25">
      <c r="A380" s="13"/>
      <c r="B380" s="14"/>
      <c r="C380" s="39"/>
      <c r="D380" s="39"/>
      <c r="E380" s="36" t="str">
        <f>IF(SUM(C380:D380)=0," ",SUM(C380:D380))</f>
        <v xml:space="preserve"> </v>
      </c>
      <c r="F380" s="14"/>
      <c r="G380" s="120" t="e">
        <f>VLOOKUP($B380,Information!$C$8:$F$15,4,FALSE)</f>
        <v>#N/A</v>
      </c>
      <c r="H380" s="210" t="str">
        <f>TEXT(A380,"ddd")</f>
        <v>Sat</v>
      </c>
    </row>
    <row r="381" spans="1:8" x14ac:dyDescent="0.25">
      <c r="A381" s="13"/>
      <c r="B381" s="14"/>
      <c r="C381" s="39"/>
      <c r="D381" s="39"/>
      <c r="E381" s="36" t="str">
        <f>IF(SUM(C381:D381)=0," ",SUM(C381:D381))</f>
        <v xml:space="preserve"> </v>
      </c>
      <c r="F381" s="14"/>
      <c r="G381" s="120" t="e">
        <f>VLOOKUP($B381,Information!$C$8:$F$15,4,FALSE)</f>
        <v>#N/A</v>
      </c>
      <c r="H381" s="210" t="str">
        <f>TEXT(A381,"ddd")</f>
        <v>Sat</v>
      </c>
    </row>
    <row r="382" spans="1:8" x14ac:dyDescent="0.25">
      <c r="A382" s="13"/>
      <c r="B382" s="14"/>
      <c r="C382" s="39"/>
      <c r="D382" s="39"/>
      <c r="E382" s="36" t="str">
        <f>IF(SUM(C382:D382)=0," ",SUM(C382:D382))</f>
        <v xml:space="preserve"> </v>
      </c>
      <c r="F382" s="14"/>
      <c r="G382" s="120" t="e">
        <f>VLOOKUP($B382,Information!$C$8:$F$15,4,FALSE)</f>
        <v>#N/A</v>
      </c>
      <c r="H382" s="210" t="str">
        <f>TEXT(A382,"ddd")</f>
        <v>Sat</v>
      </c>
    </row>
    <row r="383" spans="1:8" ht="13.8" customHeight="1" x14ac:dyDescent="0.25">
      <c r="A383" s="13"/>
      <c r="B383" s="14"/>
      <c r="C383" s="39"/>
      <c r="D383" s="39"/>
      <c r="E383" s="36" t="str">
        <f>IF(SUM(C383:D383)=0," ",SUM(C383:D383))</f>
        <v xml:space="preserve"> </v>
      </c>
      <c r="F383" s="14"/>
      <c r="G383" s="120" t="e">
        <f>VLOOKUP($B383,Information!$C$8:$F$15,4,FALSE)</f>
        <v>#N/A</v>
      </c>
      <c r="H383" s="210" t="str">
        <f>TEXT(A383,"ddd")</f>
        <v>Sat</v>
      </c>
    </row>
    <row r="384" spans="1:8" x14ac:dyDescent="0.25">
      <c r="A384" s="13"/>
      <c r="B384" s="14"/>
      <c r="C384" s="39"/>
      <c r="D384" s="39"/>
      <c r="E384" s="36" t="str">
        <f>IF(SUM(C384:D384)=0," ",SUM(C384:D384))</f>
        <v xml:space="preserve"> </v>
      </c>
      <c r="F384" s="14"/>
      <c r="G384" s="120" t="e">
        <f>VLOOKUP($B384,Information!$C$8:$F$15,4,FALSE)</f>
        <v>#N/A</v>
      </c>
      <c r="H384" s="210" t="str">
        <f>TEXT(A384,"ddd")</f>
        <v>Sat</v>
      </c>
    </row>
    <row r="385" spans="1:8" ht="13.8" customHeight="1" x14ac:dyDescent="0.25">
      <c r="A385" s="13"/>
      <c r="B385" s="14"/>
      <c r="C385" s="39"/>
      <c r="D385" s="39"/>
      <c r="E385" s="36" t="str">
        <f>IF(SUM(C385:D385)=0," ",SUM(C385:D385))</f>
        <v xml:space="preserve"> </v>
      </c>
      <c r="F385" s="14"/>
      <c r="G385" s="120" t="e">
        <f>VLOOKUP($B385,Information!$C$8:$F$15,4,FALSE)</f>
        <v>#N/A</v>
      </c>
      <c r="H385" s="210" t="str">
        <f>TEXT(A385,"ddd")</f>
        <v>Sat</v>
      </c>
    </row>
    <row r="386" spans="1:8" x14ac:dyDescent="0.25">
      <c r="A386" s="13"/>
      <c r="B386" s="14"/>
      <c r="C386" s="39"/>
      <c r="D386" s="39"/>
      <c r="E386" s="36" t="str">
        <f>IF(SUM(C386:D386)=0," ",SUM(C386:D386))</f>
        <v xml:space="preserve"> </v>
      </c>
      <c r="F386" s="14"/>
      <c r="G386" s="120" t="e">
        <f>VLOOKUP($B386,Information!$C$8:$F$15,4,FALSE)</f>
        <v>#N/A</v>
      </c>
      <c r="H386" s="210" t="str">
        <f>TEXT(A386,"ddd")</f>
        <v>Sat</v>
      </c>
    </row>
    <row r="387" spans="1:8" x14ac:dyDescent="0.25">
      <c r="A387" s="13"/>
      <c r="B387" s="14"/>
      <c r="C387" s="39"/>
      <c r="D387" s="39"/>
      <c r="E387" s="36" t="str">
        <f>IF(SUM(C387:D387)=0," ",SUM(C387:D387))</f>
        <v xml:space="preserve"> </v>
      </c>
      <c r="F387" s="14"/>
      <c r="G387" s="120" t="e">
        <f>VLOOKUP($B387,Information!$C$8:$F$15,4,FALSE)</f>
        <v>#N/A</v>
      </c>
      <c r="H387" s="210" t="str">
        <f>TEXT(A387,"ddd")</f>
        <v>Sat</v>
      </c>
    </row>
    <row r="388" spans="1:8" x14ac:dyDescent="0.25">
      <c r="A388" s="13"/>
      <c r="B388" s="14"/>
      <c r="C388" s="39"/>
      <c r="D388" s="39"/>
      <c r="E388" s="36" t="str">
        <f>IF(SUM(C388:D388)=0," ",SUM(C388:D388))</f>
        <v xml:space="preserve"> </v>
      </c>
      <c r="F388" s="14"/>
      <c r="G388" s="120" t="e">
        <f>VLOOKUP($B388,Information!$C$8:$F$15,4,FALSE)</f>
        <v>#N/A</v>
      </c>
      <c r="H388" s="210" t="str">
        <f>TEXT(A388,"ddd")</f>
        <v>Sat</v>
      </c>
    </row>
    <row r="389" spans="1:8" x14ac:dyDescent="0.25">
      <c r="A389" s="13"/>
      <c r="B389" s="14"/>
      <c r="C389" s="39"/>
      <c r="D389" s="39"/>
      <c r="E389" s="36" t="str">
        <f>IF(SUM(C389:D389)=0," ",SUM(C389:D389))</f>
        <v xml:space="preserve"> </v>
      </c>
      <c r="F389" s="14"/>
      <c r="G389" s="120" t="e">
        <f>VLOOKUP($B389,Information!$C$8:$F$15,4,FALSE)</f>
        <v>#N/A</v>
      </c>
      <c r="H389" s="210" t="str">
        <f>TEXT(A389,"ddd")</f>
        <v>Sat</v>
      </c>
    </row>
    <row r="390" spans="1:8" x14ac:dyDescent="0.25">
      <c r="A390" s="13"/>
      <c r="B390" s="14"/>
      <c r="C390" s="39"/>
      <c r="D390" s="39"/>
      <c r="E390" s="36" t="str">
        <f>IF(SUM(C390:D390)=0," ",SUM(C390:D390))</f>
        <v xml:space="preserve"> </v>
      </c>
      <c r="F390" s="14"/>
      <c r="G390" s="120" t="e">
        <f>VLOOKUP($B390,Information!$C$8:$F$15,4,FALSE)</f>
        <v>#N/A</v>
      </c>
      <c r="H390" s="210" t="str">
        <f>TEXT(A390,"ddd")</f>
        <v>Sat</v>
      </c>
    </row>
    <row r="391" spans="1:8" x14ac:dyDescent="0.25">
      <c r="A391" s="13"/>
      <c r="B391" s="14"/>
      <c r="C391" s="39"/>
      <c r="D391" s="39"/>
      <c r="E391" s="36" t="str">
        <f>IF(SUM(C391:D391)=0," ",SUM(C391:D391))</f>
        <v xml:space="preserve"> </v>
      </c>
      <c r="F391" s="14"/>
      <c r="G391" s="120" t="e">
        <f>VLOOKUP($B391,Information!$C$8:$F$15,4,FALSE)</f>
        <v>#N/A</v>
      </c>
      <c r="H391" s="210" t="str">
        <f>TEXT(A391,"ddd")</f>
        <v>Sat</v>
      </c>
    </row>
    <row r="392" spans="1:8" x14ac:dyDescent="0.25">
      <c r="A392" s="13"/>
      <c r="B392" s="14"/>
      <c r="C392" s="39"/>
      <c r="D392" s="39"/>
      <c r="E392" s="36" t="str">
        <f>IF(SUM(C392:D392)=0," ",SUM(C392:D392))</f>
        <v xml:space="preserve"> </v>
      </c>
      <c r="F392" s="14"/>
      <c r="G392" s="120" t="e">
        <f>VLOOKUP($B392,Information!$C$8:$F$15,4,FALSE)</f>
        <v>#N/A</v>
      </c>
      <c r="H392" s="210" t="str">
        <f>TEXT(A392,"ddd")</f>
        <v>Sat</v>
      </c>
    </row>
    <row r="393" spans="1:8" ht="13.8" customHeight="1" x14ac:dyDescent="0.25">
      <c r="A393" s="13"/>
      <c r="B393" s="14"/>
      <c r="C393" s="39"/>
      <c r="D393" s="39"/>
      <c r="E393" s="36" t="str">
        <f>IF(SUM(C393:D393)=0," ",SUM(C393:D393))</f>
        <v xml:space="preserve"> </v>
      </c>
      <c r="F393" s="14"/>
      <c r="G393" s="120" t="e">
        <f>VLOOKUP($B393,Information!$C$8:$F$15,4,FALSE)</f>
        <v>#N/A</v>
      </c>
      <c r="H393" s="210" t="str">
        <f>TEXT(A393,"ddd")</f>
        <v>Sat</v>
      </c>
    </row>
    <row r="394" spans="1:8" x14ac:dyDescent="0.25">
      <c r="A394" s="13"/>
      <c r="B394" s="14"/>
      <c r="C394" s="39"/>
      <c r="D394" s="39"/>
      <c r="E394" s="36" t="str">
        <f>IF(SUM(C394:D394)=0," ",SUM(C394:D394))</f>
        <v xml:space="preserve"> </v>
      </c>
      <c r="F394" s="14"/>
      <c r="G394" s="120" t="e">
        <f>VLOOKUP($B394,Information!$C$8:$F$15,4,FALSE)</f>
        <v>#N/A</v>
      </c>
      <c r="H394" s="210" t="str">
        <f>TEXT(A394,"ddd")</f>
        <v>Sat</v>
      </c>
    </row>
    <row r="395" spans="1:8" x14ac:dyDescent="0.25">
      <c r="A395" s="13"/>
      <c r="B395" s="14"/>
      <c r="C395" s="39"/>
      <c r="D395" s="39"/>
      <c r="E395" s="36" t="str">
        <f>IF(SUM(C395:D395)=0," ",SUM(C395:D395))</f>
        <v xml:space="preserve"> </v>
      </c>
      <c r="F395" s="14"/>
      <c r="G395" s="120" t="e">
        <f>VLOOKUP($B395,Information!$C$8:$F$15,4,FALSE)</f>
        <v>#N/A</v>
      </c>
      <c r="H395" s="210" t="str">
        <f>TEXT(A395,"ddd")</f>
        <v>Sat</v>
      </c>
    </row>
    <row r="396" spans="1:8" x14ac:dyDescent="0.25">
      <c r="A396" s="13"/>
      <c r="B396" s="14"/>
      <c r="C396" s="39"/>
      <c r="D396" s="39"/>
      <c r="E396" s="36" t="str">
        <f>IF(SUM(C396:D396)=0," ",SUM(C396:D396))</f>
        <v xml:space="preserve"> </v>
      </c>
      <c r="F396" s="14"/>
      <c r="G396" s="120" t="e">
        <f>VLOOKUP($B396,Information!$C$8:$F$15,4,FALSE)</f>
        <v>#N/A</v>
      </c>
      <c r="H396" s="210" t="str">
        <f>TEXT(A396,"ddd")</f>
        <v>Sat</v>
      </c>
    </row>
    <row r="397" spans="1:8" ht="13.8" customHeight="1" x14ac:dyDescent="0.3">
      <c r="A397" s="15"/>
      <c r="B397" s="14"/>
      <c r="C397" s="37"/>
      <c r="D397" s="37"/>
      <c r="E397" s="36" t="str">
        <f>IF(SUM(C397:D397)=0," ",SUM(C397:D397))</f>
        <v xml:space="preserve"> </v>
      </c>
      <c r="F397" s="18"/>
      <c r="G397" s="120" t="e">
        <f>VLOOKUP($B397,Information!$C$8:$F$15,4,FALSE)</f>
        <v>#N/A</v>
      </c>
      <c r="H397" s="210" t="str">
        <f>TEXT(A397,"ddd")</f>
        <v>Sat</v>
      </c>
    </row>
    <row r="398" spans="1:8" x14ac:dyDescent="0.25">
      <c r="A398" s="13"/>
      <c r="B398" s="14"/>
      <c r="C398" s="39"/>
      <c r="D398" s="39"/>
      <c r="E398" s="36" t="str">
        <f>IF(SUM(C398:D398)=0," ",SUM(C398:D398))</f>
        <v xml:space="preserve"> </v>
      </c>
      <c r="F398" s="14"/>
      <c r="G398" s="120" t="e">
        <f>VLOOKUP($B398,Information!$C$8:$F$15,4,FALSE)</f>
        <v>#N/A</v>
      </c>
      <c r="H398" s="210" t="str">
        <f>TEXT(A398,"ddd")</f>
        <v>Sat</v>
      </c>
    </row>
    <row r="399" spans="1:8" x14ac:dyDescent="0.25">
      <c r="A399" s="13"/>
      <c r="B399" s="14"/>
      <c r="C399" s="39"/>
      <c r="D399" s="39"/>
      <c r="E399" s="36" t="str">
        <f>IF(SUM(C399:D399)=0," ",SUM(C399:D399))</f>
        <v xml:space="preserve"> </v>
      </c>
      <c r="F399" s="14"/>
      <c r="G399" s="120" t="e">
        <f>VLOOKUP($B399,Information!$C$8:$F$15,4,FALSE)</f>
        <v>#N/A</v>
      </c>
      <c r="H399" s="210" t="str">
        <f>TEXT(A399,"ddd")</f>
        <v>Sat</v>
      </c>
    </row>
    <row r="400" spans="1:8" x14ac:dyDescent="0.25">
      <c r="A400" s="13"/>
      <c r="B400" s="14"/>
      <c r="C400" s="39"/>
      <c r="D400" s="39"/>
      <c r="E400" s="36" t="str">
        <f>IF(SUM(C400:D400)=0," ",SUM(C400:D400))</f>
        <v xml:space="preserve"> </v>
      </c>
      <c r="F400" s="14"/>
      <c r="G400" s="120" t="e">
        <f>VLOOKUP($B400,Information!$C$8:$F$15,4,FALSE)</f>
        <v>#N/A</v>
      </c>
      <c r="H400" s="210" t="str">
        <f>TEXT(A400,"ddd")</f>
        <v>Sat</v>
      </c>
    </row>
    <row r="401" spans="1:8" x14ac:dyDescent="0.25">
      <c r="A401" s="13"/>
      <c r="B401" s="14"/>
      <c r="C401" s="39"/>
      <c r="D401" s="39"/>
      <c r="E401" s="36" t="str">
        <f>IF(SUM(C401:D401)=0," ",SUM(C401:D401))</f>
        <v xml:space="preserve"> </v>
      </c>
      <c r="F401" s="14"/>
      <c r="G401" s="120" t="e">
        <f>VLOOKUP($B401,Information!$C$8:$F$15,4,FALSE)</f>
        <v>#N/A</v>
      </c>
      <c r="H401" s="210" t="str">
        <f>TEXT(A401,"ddd")</f>
        <v>Sat</v>
      </c>
    </row>
    <row r="402" spans="1:8" x14ac:dyDescent="0.25">
      <c r="A402" s="13"/>
      <c r="B402" s="14"/>
      <c r="C402" s="39"/>
      <c r="D402" s="39"/>
      <c r="E402" s="36" t="str">
        <f>IF(SUM(C402:D402)=0," ",SUM(C402:D402))</f>
        <v xml:space="preserve"> </v>
      </c>
      <c r="F402" s="14"/>
      <c r="G402" s="120" t="e">
        <f>VLOOKUP($B402,Information!$C$8:$F$15,4,FALSE)</f>
        <v>#N/A</v>
      </c>
      <c r="H402" s="210" t="str">
        <f>TEXT(A402,"ddd")</f>
        <v>Sat</v>
      </c>
    </row>
    <row r="403" spans="1:8" x14ac:dyDescent="0.25">
      <c r="A403" s="13"/>
      <c r="B403" s="14"/>
      <c r="C403" s="39"/>
      <c r="D403" s="39"/>
      <c r="E403" s="36" t="str">
        <f>IF(SUM(C403:D403)=0," ",SUM(C403:D403))</f>
        <v xml:space="preserve"> </v>
      </c>
      <c r="F403" s="14"/>
      <c r="G403" s="120" t="e">
        <f>VLOOKUP($B403,Information!$C$8:$F$15,4,FALSE)</f>
        <v>#N/A</v>
      </c>
      <c r="H403" s="210" t="str">
        <f>TEXT(A403,"ddd")</f>
        <v>Sat</v>
      </c>
    </row>
    <row r="404" spans="1:8" x14ac:dyDescent="0.25">
      <c r="A404" s="13"/>
      <c r="B404" s="14"/>
      <c r="C404" s="39"/>
      <c r="D404" s="39"/>
      <c r="E404" s="36" t="str">
        <f>IF(SUM(C404:D404)=0," ",SUM(C404:D404))</f>
        <v xml:space="preserve"> </v>
      </c>
      <c r="F404" s="14"/>
      <c r="G404" s="120" t="e">
        <f>VLOOKUP($B404,Information!$C$8:$F$15,4,FALSE)</f>
        <v>#N/A</v>
      </c>
      <c r="H404" s="210" t="str">
        <f>TEXT(A404,"ddd")</f>
        <v>Sat</v>
      </c>
    </row>
    <row r="405" spans="1:8" x14ac:dyDescent="0.25">
      <c r="A405" s="13"/>
      <c r="B405" s="14"/>
      <c r="C405" s="39"/>
      <c r="D405" s="39"/>
      <c r="E405" s="36" t="str">
        <f>IF(SUM(C405:D405)=0," ",SUM(C405:D405))</f>
        <v xml:space="preserve"> </v>
      </c>
      <c r="F405" s="14"/>
      <c r="G405" s="120" t="e">
        <f>VLOOKUP($B405,Information!$C$8:$F$15,4,FALSE)</f>
        <v>#N/A</v>
      </c>
      <c r="H405" s="210" t="str">
        <f>TEXT(A405,"ddd")</f>
        <v>Sat</v>
      </c>
    </row>
    <row r="406" spans="1:8" x14ac:dyDescent="0.25">
      <c r="A406" s="13"/>
      <c r="B406" s="14"/>
      <c r="C406" s="39"/>
      <c r="D406" s="39"/>
      <c r="E406" s="36" t="str">
        <f>IF(SUM(C406:D406)=0," ",SUM(C406:D406))</f>
        <v xml:space="preserve"> </v>
      </c>
      <c r="F406" s="14"/>
      <c r="G406" s="120" t="e">
        <f>VLOOKUP($B406,Information!$C$8:$F$15,4,FALSE)</f>
        <v>#N/A</v>
      </c>
      <c r="H406" s="210" t="str">
        <f>TEXT(A406,"ddd")</f>
        <v>Sat</v>
      </c>
    </row>
    <row r="407" spans="1:8" ht="13.8" customHeight="1" x14ac:dyDescent="0.25">
      <c r="A407" s="13"/>
      <c r="B407" s="14"/>
      <c r="C407" s="39"/>
      <c r="D407" s="39"/>
      <c r="E407" s="36" t="str">
        <f>IF(SUM(C407:D407)=0," ",SUM(C407:D407))</f>
        <v xml:space="preserve"> </v>
      </c>
      <c r="F407" s="14"/>
      <c r="G407" s="120" t="e">
        <f>VLOOKUP($B407,Information!$C$8:$F$15,4,FALSE)</f>
        <v>#N/A</v>
      </c>
      <c r="H407" s="210" t="str">
        <f>TEXT(A407,"ddd")</f>
        <v>Sat</v>
      </c>
    </row>
    <row r="408" spans="1:8" ht="13.8" customHeight="1" x14ac:dyDescent="0.25">
      <c r="A408" s="13"/>
      <c r="B408" s="14"/>
      <c r="C408" s="39"/>
      <c r="D408" s="39"/>
      <c r="E408" s="36" t="str">
        <f>IF(SUM(C408:D408)=0," ",SUM(C408:D408))</f>
        <v xml:space="preserve"> </v>
      </c>
      <c r="F408" s="14"/>
      <c r="G408" s="120" t="e">
        <f>VLOOKUP($B408,Information!$C$8:$F$15,4,FALSE)</f>
        <v>#N/A</v>
      </c>
      <c r="H408" s="210" t="str">
        <f>TEXT(A408,"ddd")</f>
        <v>Sat</v>
      </c>
    </row>
    <row r="409" spans="1:8" ht="13.8" customHeight="1" x14ac:dyDescent="0.25">
      <c r="A409" s="13"/>
      <c r="B409" s="14"/>
      <c r="C409" s="39"/>
      <c r="D409" s="39"/>
      <c r="E409" s="36" t="str">
        <f>IF(SUM(C409:D409)=0," ",SUM(C409:D409))</f>
        <v xml:space="preserve"> </v>
      </c>
      <c r="F409" s="14"/>
      <c r="G409" s="120" t="e">
        <f>VLOOKUP($B409,Information!$C$8:$F$15,4,FALSE)</f>
        <v>#N/A</v>
      </c>
      <c r="H409" s="210" t="str">
        <f>TEXT(A409,"ddd")</f>
        <v>Sat</v>
      </c>
    </row>
    <row r="410" spans="1:8" ht="13.8" customHeight="1" x14ac:dyDescent="0.25">
      <c r="A410" s="13"/>
      <c r="B410" s="14"/>
      <c r="C410" s="39"/>
      <c r="D410" s="39"/>
      <c r="E410" s="36" t="str">
        <f>IF(SUM(C410:D410)=0," ",SUM(C410:D410))</f>
        <v xml:space="preserve"> </v>
      </c>
      <c r="F410" s="14"/>
      <c r="G410" s="120" t="e">
        <f>VLOOKUP($B410,Information!$C$8:$F$15,4,FALSE)</f>
        <v>#N/A</v>
      </c>
      <c r="H410" s="210" t="str">
        <f>TEXT(A410,"ddd")</f>
        <v>Sat</v>
      </c>
    </row>
    <row r="411" spans="1:8" x14ac:dyDescent="0.25">
      <c r="A411" s="13"/>
      <c r="B411" s="14"/>
      <c r="C411" s="39"/>
      <c r="D411" s="39"/>
      <c r="E411" s="36" t="str">
        <f>IF(SUM(C411:D411)=0," ",SUM(C411:D411))</f>
        <v xml:space="preserve"> </v>
      </c>
      <c r="F411" s="14"/>
      <c r="G411" s="120" t="e">
        <f>VLOOKUP($B411,Information!$C$8:$F$15,4,FALSE)</f>
        <v>#N/A</v>
      </c>
      <c r="H411" s="210" t="str">
        <f>TEXT(A411,"ddd")</f>
        <v>Sat</v>
      </c>
    </row>
    <row r="412" spans="1:8" x14ac:dyDescent="0.25">
      <c r="A412" s="13"/>
      <c r="B412" s="14"/>
      <c r="C412" s="39"/>
      <c r="D412" s="39"/>
      <c r="E412" s="36" t="str">
        <f>IF(SUM(C412:D412)=0," ",SUM(C412:D412))</f>
        <v xml:space="preserve"> </v>
      </c>
      <c r="F412" s="14"/>
      <c r="G412" s="120" t="e">
        <f>VLOOKUP($B412,Information!$C$8:$F$15,4,FALSE)</f>
        <v>#N/A</v>
      </c>
      <c r="H412" s="210" t="str">
        <f>TEXT(A412,"ddd")</f>
        <v>Sat</v>
      </c>
    </row>
    <row r="413" spans="1:8" x14ac:dyDescent="0.25">
      <c r="A413" s="13"/>
      <c r="B413" s="14"/>
      <c r="C413" s="39"/>
      <c r="D413" s="39"/>
      <c r="E413" s="36" t="str">
        <f>IF(SUM(C413:D413)=0," ",SUM(C413:D413))</f>
        <v xml:space="preserve"> </v>
      </c>
      <c r="F413" s="14"/>
      <c r="G413" s="120" t="e">
        <f>VLOOKUP($B413,Information!$C$8:$F$15,4,FALSE)</f>
        <v>#N/A</v>
      </c>
      <c r="H413" s="210" t="str">
        <f>TEXT(A413,"ddd")</f>
        <v>Sat</v>
      </c>
    </row>
    <row r="414" spans="1:8" x14ac:dyDescent="0.25">
      <c r="A414" s="13"/>
      <c r="B414" s="14"/>
      <c r="C414" s="39"/>
      <c r="D414" s="39"/>
      <c r="E414" s="36" t="str">
        <f>IF(SUM(C414:D414)=0," ",SUM(C414:D414))</f>
        <v xml:space="preserve"> </v>
      </c>
      <c r="F414" s="14"/>
      <c r="G414" s="120" t="e">
        <f>VLOOKUP($B414,Information!$C$8:$F$15,4,FALSE)</f>
        <v>#N/A</v>
      </c>
      <c r="H414" s="210" t="str">
        <f>TEXT(A414,"ddd")</f>
        <v>Sat</v>
      </c>
    </row>
    <row r="415" spans="1:8" x14ac:dyDescent="0.25">
      <c r="A415" s="13"/>
      <c r="B415" s="14"/>
      <c r="C415" s="39"/>
      <c r="D415" s="39"/>
      <c r="E415" s="36" t="str">
        <f>IF(SUM(C415:D415)=0," ",SUM(C415:D415))</f>
        <v xml:space="preserve"> </v>
      </c>
      <c r="F415" s="14"/>
      <c r="G415" s="120" t="e">
        <f>VLOOKUP($B415,Information!$C$8:$F$15,4,FALSE)</f>
        <v>#N/A</v>
      </c>
      <c r="H415" s="210" t="str">
        <f>TEXT(A415,"ddd")</f>
        <v>Sat</v>
      </c>
    </row>
    <row r="416" spans="1:8" x14ac:dyDescent="0.25">
      <c r="A416" s="13"/>
      <c r="B416" s="14"/>
      <c r="C416" s="39"/>
      <c r="D416" s="39"/>
      <c r="E416" s="36" t="str">
        <f>IF(SUM(C416:D416)=0," ",SUM(C416:D416))</f>
        <v xml:space="preserve"> </v>
      </c>
      <c r="F416" s="14"/>
      <c r="G416" s="120" t="e">
        <f>VLOOKUP($B416,Information!$C$8:$F$15,4,FALSE)</f>
        <v>#N/A</v>
      </c>
      <c r="H416" s="210" t="str">
        <f>TEXT(A416,"ddd")</f>
        <v>Sat</v>
      </c>
    </row>
    <row r="417" spans="1:8" x14ac:dyDescent="0.25">
      <c r="A417" s="13"/>
      <c r="B417" s="14"/>
      <c r="C417" s="39"/>
      <c r="D417" s="39"/>
      <c r="E417" s="36" t="str">
        <f>IF(SUM(C417:D417)=0," ",SUM(C417:D417))</f>
        <v xml:space="preserve"> </v>
      </c>
      <c r="F417" s="14"/>
      <c r="G417" s="120" t="e">
        <f>VLOOKUP($B417,Information!$C$8:$F$15,4,FALSE)</f>
        <v>#N/A</v>
      </c>
      <c r="H417" s="210" t="str">
        <f>TEXT(A417,"ddd")</f>
        <v>Sat</v>
      </c>
    </row>
    <row r="418" spans="1:8" x14ac:dyDescent="0.25">
      <c r="A418" s="13"/>
      <c r="B418" s="14"/>
      <c r="C418" s="39"/>
      <c r="D418" s="39"/>
      <c r="E418" s="36" t="str">
        <f>IF(SUM(C418:D418)=0," ",SUM(C418:D418))</f>
        <v xml:space="preserve"> </v>
      </c>
      <c r="F418" s="14"/>
      <c r="G418" s="120" t="e">
        <f>VLOOKUP($B418,Information!$C$8:$F$15,4,FALSE)</f>
        <v>#N/A</v>
      </c>
      <c r="H418" s="210" t="str">
        <f>TEXT(A418,"ddd")</f>
        <v>Sat</v>
      </c>
    </row>
    <row r="419" spans="1:8" x14ac:dyDescent="0.25">
      <c r="A419" s="13"/>
      <c r="B419" s="14"/>
      <c r="C419" s="39"/>
      <c r="D419" s="39"/>
      <c r="E419" s="36" t="str">
        <f>IF(SUM(C419:D419)=0," ",SUM(C419:D419))</f>
        <v xml:space="preserve"> </v>
      </c>
      <c r="F419" s="14"/>
      <c r="G419" s="120" t="e">
        <f>VLOOKUP($B419,Information!$C$8:$F$15,4,FALSE)</f>
        <v>#N/A</v>
      </c>
      <c r="H419" s="210" t="str">
        <f>TEXT(A419,"ddd")</f>
        <v>Sat</v>
      </c>
    </row>
    <row r="420" spans="1:8" x14ac:dyDescent="0.25">
      <c r="A420" s="13"/>
      <c r="B420" s="14"/>
      <c r="C420" s="39"/>
      <c r="D420" s="39"/>
      <c r="E420" s="36" t="str">
        <f>IF(SUM(C420:D420)=0," ",SUM(C420:D420))</f>
        <v xml:space="preserve"> </v>
      </c>
      <c r="F420" s="14"/>
      <c r="G420" s="120" t="e">
        <f>VLOOKUP($B420,Information!$C$8:$F$15,4,FALSE)</f>
        <v>#N/A</v>
      </c>
      <c r="H420" s="210" t="str">
        <f>TEXT(A420,"ddd")</f>
        <v>Sat</v>
      </c>
    </row>
    <row r="421" spans="1:8" x14ac:dyDescent="0.25">
      <c r="A421" s="13"/>
      <c r="B421" s="14"/>
      <c r="C421" s="39"/>
      <c r="D421" s="39"/>
      <c r="E421" s="36" t="str">
        <f>IF(SUM(C421:D421)=0," ",SUM(C421:D421))</f>
        <v xml:space="preserve"> </v>
      </c>
      <c r="F421" s="14"/>
      <c r="G421" s="120" t="e">
        <f>VLOOKUP($B421,Information!$C$8:$F$15,4,FALSE)</f>
        <v>#N/A</v>
      </c>
      <c r="H421" s="210" t="str">
        <f>TEXT(A421,"ddd")</f>
        <v>Sat</v>
      </c>
    </row>
    <row r="422" spans="1:8" x14ac:dyDescent="0.25">
      <c r="A422" s="13"/>
      <c r="B422" s="14"/>
      <c r="C422" s="39"/>
      <c r="D422" s="39"/>
      <c r="E422" s="36" t="str">
        <f>IF(SUM(C422:D422)=0," ",SUM(C422:D422))</f>
        <v xml:space="preserve"> </v>
      </c>
      <c r="F422" s="14"/>
      <c r="G422" s="120" t="e">
        <f>VLOOKUP($B422,Information!$C$8:$F$15,4,FALSE)</f>
        <v>#N/A</v>
      </c>
      <c r="H422" s="210" t="str">
        <f>TEXT(A422,"ddd")</f>
        <v>Sat</v>
      </c>
    </row>
    <row r="423" spans="1:8" x14ac:dyDescent="0.25">
      <c r="A423" s="13"/>
      <c r="B423" s="14"/>
      <c r="C423" s="39"/>
      <c r="D423" s="39"/>
      <c r="E423" s="36" t="str">
        <f>IF(SUM(C423:D423)=0," ",SUM(C423:D423))</f>
        <v xml:space="preserve"> </v>
      </c>
      <c r="F423" s="14"/>
      <c r="G423" s="120" t="e">
        <f>VLOOKUP($B423,Information!$C$8:$F$15,4,FALSE)</f>
        <v>#N/A</v>
      </c>
      <c r="H423" s="210" t="str">
        <f>TEXT(A423,"ddd")</f>
        <v>Sat</v>
      </c>
    </row>
    <row r="424" spans="1:8" x14ac:dyDescent="0.25">
      <c r="A424" s="13"/>
      <c r="B424" s="14"/>
      <c r="C424" s="39"/>
      <c r="D424" s="39"/>
      <c r="E424" s="36" t="str">
        <f>IF(SUM(C424:D424)=0," ",SUM(C424:D424))</f>
        <v xml:space="preserve"> </v>
      </c>
      <c r="F424" s="14"/>
      <c r="G424" s="120" t="e">
        <f>VLOOKUP($B424,Information!$C$8:$F$15,4,FALSE)</f>
        <v>#N/A</v>
      </c>
      <c r="H424" s="210" t="str">
        <f>TEXT(A424,"ddd")</f>
        <v>Sat</v>
      </c>
    </row>
    <row r="425" spans="1:8" x14ac:dyDescent="0.25">
      <c r="A425" s="13"/>
      <c r="B425" s="14"/>
      <c r="C425" s="39"/>
      <c r="D425" s="39"/>
      <c r="E425" s="36" t="str">
        <f>IF(SUM(C425:D425)=0," ",SUM(C425:D425))</f>
        <v xml:space="preserve"> </v>
      </c>
      <c r="F425" s="14"/>
      <c r="G425" s="120" t="e">
        <f>VLOOKUP($B425,Information!$C$8:$F$15,4,FALSE)</f>
        <v>#N/A</v>
      </c>
      <c r="H425" s="210" t="str">
        <f>TEXT(A425,"ddd")</f>
        <v>Sat</v>
      </c>
    </row>
    <row r="426" spans="1:8" x14ac:dyDescent="0.25">
      <c r="A426" s="13"/>
      <c r="B426" s="14"/>
      <c r="C426" s="39"/>
      <c r="D426" s="39"/>
      <c r="E426" s="36" t="str">
        <f>IF(SUM(C426:D426)=0," ",SUM(C426:D426))</f>
        <v xml:space="preserve"> </v>
      </c>
      <c r="F426" s="14"/>
      <c r="G426" s="120" t="e">
        <f>VLOOKUP($B426,Information!$C$8:$F$15,4,FALSE)</f>
        <v>#N/A</v>
      </c>
      <c r="H426" s="210" t="str">
        <f>TEXT(A426,"ddd")</f>
        <v>Sat</v>
      </c>
    </row>
    <row r="427" spans="1:8" x14ac:dyDescent="0.25">
      <c r="A427" s="13"/>
      <c r="B427" s="14"/>
      <c r="C427" s="39"/>
      <c r="D427" s="39"/>
      <c r="E427" s="36" t="str">
        <f>IF(SUM(C427:D427)=0," ",SUM(C427:D427))</f>
        <v xml:space="preserve"> </v>
      </c>
      <c r="F427" s="14"/>
      <c r="G427" s="120" t="e">
        <f>VLOOKUP($B427,Information!$C$8:$F$15,4,FALSE)</f>
        <v>#N/A</v>
      </c>
      <c r="H427" s="210" t="str">
        <f>TEXT(A427,"ddd")</f>
        <v>Sat</v>
      </c>
    </row>
    <row r="428" spans="1:8" x14ac:dyDescent="0.25">
      <c r="A428" s="13"/>
      <c r="B428" s="14"/>
      <c r="C428" s="39"/>
      <c r="D428" s="39"/>
      <c r="E428" s="36" t="str">
        <f>IF(SUM(C428:D428)=0," ",SUM(C428:D428))</f>
        <v xml:space="preserve"> </v>
      </c>
      <c r="F428" s="14"/>
      <c r="G428" s="120" t="e">
        <f>VLOOKUP($B428,Information!$C$8:$F$15,4,FALSE)</f>
        <v>#N/A</v>
      </c>
      <c r="H428" s="210" t="str">
        <f>TEXT(A428,"ddd")</f>
        <v>Sat</v>
      </c>
    </row>
    <row r="429" spans="1:8" x14ac:dyDescent="0.25">
      <c r="A429" s="13"/>
      <c r="B429" s="14"/>
      <c r="C429" s="39"/>
      <c r="D429" s="39"/>
      <c r="E429" s="36" t="str">
        <f>IF(SUM(C429:D429)=0," ",SUM(C429:D429))</f>
        <v xml:space="preserve"> </v>
      </c>
      <c r="F429" s="14"/>
      <c r="G429" s="120" t="e">
        <f>VLOOKUP($B429,Information!$C$8:$F$15,4,FALSE)</f>
        <v>#N/A</v>
      </c>
      <c r="H429" s="210" t="str">
        <f>TEXT(A429,"ddd")</f>
        <v>Sat</v>
      </c>
    </row>
    <row r="430" spans="1:8" x14ac:dyDescent="0.25">
      <c r="A430" s="13"/>
      <c r="B430" s="14"/>
      <c r="C430" s="39"/>
      <c r="D430" s="39"/>
      <c r="E430" s="36" t="str">
        <f>IF(SUM(C430:D430)=0," ",SUM(C430:D430))</f>
        <v xml:space="preserve"> </v>
      </c>
      <c r="F430" s="14"/>
      <c r="G430" s="120" t="e">
        <f>VLOOKUP($B430,Information!$C$8:$F$15,4,FALSE)</f>
        <v>#N/A</v>
      </c>
      <c r="H430" s="210" t="str">
        <f>TEXT(A430,"ddd")</f>
        <v>Sat</v>
      </c>
    </row>
    <row r="431" spans="1:8" x14ac:dyDescent="0.25">
      <c r="A431" s="13"/>
      <c r="B431" s="14"/>
      <c r="C431" s="39"/>
      <c r="D431" s="39"/>
      <c r="E431" s="36" t="str">
        <f>IF(SUM(C431:D431)=0," ",SUM(C431:D431))</f>
        <v xml:space="preserve"> </v>
      </c>
      <c r="F431" s="14"/>
      <c r="G431" s="120" t="e">
        <f>VLOOKUP($B431,Information!$C$8:$F$15,4,FALSE)</f>
        <v>#N/A</v>
      </c>
      <c r="H431" s="210" t="str">
        <f>TEXT(A431,"ddd")</f>
        <v>Sat</v>
      </c>
    </row>
    <row r="432" spans="1:8" x14ac:dyDescent="0.25">
      <c r="A432" s="13"/>
      <c r="B432" s="14"/>
      <c r="C432" s="39"/>
      <c r="D432" s="39"/>
      <c r="E432" s="36" t="str">
        <f>IF(SUM(C432:D432)=0," ",SUM(C432:D432))</f>
        <v xml:space="preserve"> </v>
      </c>
      <c r="F432" s="14"/>
      <c r="G432" s="120" t="e">
        <f>VLOOKUP($B432,Information!$C$8:$F$15,4,FALSE)</f>
        <v>#N/A</v>
      </c>
      <c r="H432" s="210" t="str">
        <f>TEXT(A432,"ddd")</f>
        <v>Sat</v>
      </c>
    </row>
    <row r="433" spans="1:8" x14ac:dyDescent="0.25">
      <c r="A433" s="13"/>
      <c r="B433" s="14"/>
      <c r="C433" s="39"/>
      <c r="D433" s="39"/>
      <c r="E433" s="36" t="str">
        <f>IF(SUM(C433:D433)=0," ",SUM(C433:D433))</f>
        <v xml:space="preserve"> </v>
      </c>
      <c r="F433" s="14"/>
      <c r="G433" s="120" t="e">
        <f>VLOOKUP($B433,Information!$C$8:$F$15,4,FALSE)</f>
        <v>#N/A</v>
      </c>
      <c r="H433" s="210" t="str">
        <f>TEXT(A433,"ddd")</f>
        <v>Sat</v>
      </c>
    </row>
    <row r="434" spans="1:8" x14ac:dyDescent="0.25">
      <c r="A434" s="13"/>
      <c r="B434" s="14"/>
      <c r="C434" s="39"/>
      <c r="D434" s="39"/>
      <c r="E434" s="36" t="str">
        <f>IF(SUM(C434:D434)=0," ",SUM(C434:D434))</f>
        <v xml:space="preserve"> </v>
      </c>
      <c r="F434" s="14"/>
      <c r="G434" s="120" t="e">
        <f>VLOOKUP($B434,Information!$C$8:$F$15,4,FALSE)</f>
        <v>#N/A</v>
      </c>
      <c r="H434" s="210" t="str">
        <f>TEXT(A434,"ddd")</f>
        <v>Sat</v>
      </c>
    </row>
    <row r="435" spans="1:8" x14ac:dyDescent="0.25">
      <c r="A435" s="13"/>
      <c r="B435" s="14"/>
      <c r="C435" s="39"/>
      <c r="D435" s="39"/>
      <c r="E435" s="36" t="str">
        <f>IF(SUM(C435:D435)=0," ",SUM(C435:D435))</f>
        <v xml:space="preserve"> </v>
      </c>
      <c r="F435" s="14"/>
      <c r="G435" s="120" t="e">
        <f>VLOOKUP($B435,Information!$C$8:$F$15,4,FALSE)</f>
        <v>#N/A</v>
      </c>
      <c r="H435" s="210" t="str">
        <f>TEXT(A435,"ddd")</f>
        <v>Sat</v>
      </c>
    </row>
    <row r="436" spans="1:8" x14ac:dyDescent="0.25">
      <c r="A436" s="13"/>
      <c r="B436" s="14"/>
      <c r="C436" s="39"/>
      <c r="D436" s="39"/>
      <c r="E436" s="36" t="str">
        <f>IF(SUM(C436:D436)=0," ",SUM(C436:D436))</f>
        <v xml:space="preserve"> </v>
      </c>
      <c r="F436" s="14"/>
      <c r="G436" s="120" t="e">
        <f>VLOOKUP($B436,Information!$C$8:$F$15,4,FALSE)</f>
        <v>#N/A</v>
      </c>
      <c r="H436" s="210" t="str">
        <f>TEXT(A436,"ddd")</f>
        <v>Sat</v>
      </c>
    </row>
    <row r="437" spans="1:8" x14ac:dyDescent="0.25">
      <c r="A437" s="13"/>
      <c r="B437" s="14"/>
      <c r="C437" s="39"/>
      <c r="D437" s="39"/>
      <c r="E437" s="36" t="str">
        <f>IF(SUM(C437:D437)=0," ",SUM(C437:D437))</f>
        <v xml:space="preserve"> </v>
      </c>
      <c r="F437" s="14"/>
      <c r="G437" s="120" t="e">
        <f>VLOOKUP($B437,Information!$C$8:$F$15,4,FALSE)</f>
        <v>#N/A</v>
      </c>
      <c r="H437" s="210" t="str">
        <f>TEXT(A437,"ddd")</f>
        <v>Sat</v>
      </c>
    </row>
    <row r="438" spans="1:8" x14ac:dyDescent="0.25">
      <c r="A438" s="13"/>
      <c r="B438" s="14"/>
      <c r="C438" s="39"/>
      <c r="D438" s="39"/>
      <c r="E438" s="36" t="str">
        <f>IF(SUM(C438:D438)=0," ",SUM(C438:D438))</f>
        <v xml:space="preserve"> </v>
      </c>
      <c r="F438" s="14"/>
      <c r="G438" s="120" t="e">
        <f>VLOOKUP($B438,Information!$C$8:$F$15,4,FALSE)</f>
        <v>#N/A</v>
      </c>
      <c r="H438" s="210" t="str">
        <f>TEXT(A438,"ddd")</f>
        <v>Sat</v>
      </c>
    </row>
    <row r="439" spans="1:8" x14ac:dyDescent="0.25">
      <c r="A439" s="13"/>
      <c r="B439" s="14"/>
      <c r="C439" s="39"/>
      <c r="D439" s="39"/>
      <c r="E439" s="36" t="str">
        <f>IF(SUM(C439:D439)=0," ",SUM(C439:D439))</f>
        <v xml:space="preserve"> </v>
      </c>
      <c r="F439" s="14"/>
      <c r="G439" s="120" t="e">
        <f>VLOOKUP($B439,Information!$C$8:$F$15,4,FALSE)</f>
        <v>#N/A</v>
      </c>
      <c r="H439" s="210" t="str">
        <f>TEXT(A439,"ddd")</f>
        <v>Sat</v>
      </c>
    </row>
    <row r="440" spans="1:8" x14ac:dyDescent="0.25">
      <c r="A440" s="13"/>
      <c r="B440" s="14"/>
      <c r="C440" s="39"/>
      <c r="D440" s="39"/>
      <c r="E440" s="36" t="str">
        <f>IF(SUM(C440:D440)=0," ",SUM(C440:D440))</f>
        <v xml:space="preserve"> </v>
      </c>
      <c r="F440" s="14"/>
      <c r="G440" s="120" t="e">
        <f>VLOOKUP($B440,Information!$C$8:$F$15,4,FALSE)</f>
        <v>#N/A</v>
      </c>
      <c r="H440" s="210" t="str">
        <f>TEXT(A440,"ddd")</f>
        <v>Sat</v>
      </c>
    </row>
    <row r="441" spans="1:8" x14ac:dyDescent="0.25">
      <c r="A441" s="13"/>
      <c r="B441" s="14"/>
      <c r="C441" s="39"/>
      <c r="D441" s="39"/>
      <c r="E441" s="36" t="str">
        <f>IF(SUM(C441:D441)=0," ",SUM(C441:D441))</f>
        <v xml:space="preserve"> </v>
      </c>
      <c r="F441" s="14"/>
      <c r="G441" s="120" t="e">
        <f>VLOOKUP($B441,Information!$C$8:$F$15,4,FALSE)</f>
        <v>#N/A</v>
      </c>
      <c r="H441" s="210" t="str">
        <f>TEXT(A441,"ddd")</f>
        <v>Sat</v>
      </c>
    </row>
    <row r="442" spans="1:8" x14ac:dyDescent="0.25">
      <c r="A442" s="13"/>
      <c r="B442" s="14"/>
      <c r="C442" s="39"/>
      <c r="D442" s="39"/>
      <c r="E442" s="36" t="str">
        <f>IF(SUM(C442:D442)=0," ",SUM(C442:D442))</f>
        <v xml:space="preserve"> </v>
      </c>
      <c r="F442" s="14"/>
      <c r="G442" s="120" t="e">
        <f>VLOOKUP($B442,Information!$C$8:$F$15,4,FALSE)</f>
        <v>#N/A</v>
      </c>
      <c r="H442" s="210" t="str">
        <f>TEXT(A442,"ddd")</f>
        <v>Sat</v>
      </c>
    </row>
    <row r="443" spans="1:8" x14ac:dyDescent="0.25">
      <c r="A443" s="13"/>
      <c r="B443" s="14"/>
      <c r="C443" s="39"/>
      <c r="D443" s="39"/>
      <c r="E443" s="36" t="str">
        <f>IF(SUM(C443:D443)=0," ",SUM(C443:D443))</f>
        <v xml:space="preserve"> </v>
      </c>
      <c r="F443" s="14"/>
      <c r="G443" s="120" t="e">
        <f>VLOOKUP($B443,Information!$C$8:$F$15,4,FALSE)</f>
        <v>#N/A</v>
      </c>
      <c r="H443" s="210" t="str">
        <f>TEXT(A443,"ddd")</f>
        <v>Sat</v>
      </c>
    </row>
    <row r="444" spans="1:8" x14ac:dyDescent="0.25">
      <c r="A444" s="13"/>
      <c r="B444" s="14"/>
      <c r="C444" s="39"/>
      <c r="D444" s="39"/>
      <c r="E444" s="36" t="str">
        <f>IF(SUM(C444:D444)=0," ",SUM(C444:D444))</f>
        <v xml:space="preserve"> </v>
      </c>
      <c r="F444" s="14"/>
      <c r="G444" s="120" t="e">
        <f>VLOOKUP($B444,Information!$C$8:$F$15,4,FALSE)</f>
        <v>#N/A</v>
      </c>
      <c r="H444" s="210" t="str">
        <f>TEXT(A444,"ddd")</f>
        <v>Sat</v>
      </c>
    </row>
    <row r="445" spans="1:8" x14ac:dyDescent="0.25">
      <c r="A445" s="13"/>
      <c r="B445" s="14"/>
      <c r="C445" s="39"/>
      <c r="D445" s="39"/>
      <c r="E445" s="36" t="str">
        <f>IF(SUM(C445:D445)=0," ",SUM(C445:D445))</f>
        <v xml:space="preserve"> </v>
      </c>
      <c r="F445" s="14"/>
      <c r="G445" s="120" t="e">
        <f>VLOOKUP($B445,Information!$C$8:$F$15,4,FALSE)</f>
        <v>#N/A</v>
      </c>
      <c r="H445" s="210" t="str">
        <f>TEXT(A445,"ddd")</f>
        <v>Sat</v>
      </c>
    </row>
    <row r="446" spans="1:8" x14ac:dyDescent="0.25">
      <c r="A446" s="13"/>
      <c r="B446" s="14"/>
      <c r="C446" s="39"/>
      <c r="D446" s="39"/>
      <c r="E446" s="36" t="str">
        <f>IF(SUM(C446:D446)=0," ",SUM(C446:D446))</f>
        <v xml:space="preserve"> </v>
      </c>
      <c r="F446" s="14"/>
      <c r="G446" s="120" t="e">
        <f>VLOOKUP($B446,Information!$C$8:$F$15,4,FALSE)</f>
        <v>#N/A</v>
      </c>
      <c r="H446" s="210" t="str">
        <f>TEXT(A446,"ddd")</f>
        <v>Sat</v>
      </c>
    </row>
    <row r="447" spans="1:8" x14ac:dyDescent="0.25">
      <c r="A447" s="13"/>
      <c r="B447" s="14"/>
      <c r="C447" s="39"/>
      <c r="D447" s="39"/>
      <c r="E447" s="36" t="str">
        <f>IF(SUM(C447:D447)=0," ",SUM(C447:D447))</f>
        <v xml:space="preserve"> </v>
      </c>
      <c r="F447" s="14"/>
      <c r="G447" s="120" t="e">
        <f>VLOOKUP($B447,Information!$C$8:$F$15,4,FALSE)</f>
        <v>#N/A</v>
      </c>
      <c r="H447" s="210" t="str">
        <f>TEXT(A447,"ddd")</f>
        <v>Sat</v>
      </c>
    </row>
    <row r="448" spans="1:8" x14ac:dyDescent="0.25">
      <c r="A448" s="13"/>
      <c r="B448" s="14"/>
      <c r="C448" s="39"/>
      <c r="D448" s="39"/>
      <c r="E448" s="36" t="str">
        <f>IF(SUM(C448:D448)=0," ",SUM(C448:D448))</f>
        <v xml:space="preserve"> </v>
      </c>
      <c r="F448" s="14"/>
      <c r="G448" s="120" t="e">
        <f>VLOOKUP($B448,Information!$C$8:$F$15,4,FALSE)</f>
        <v>#N/A</v>
      </c>
      <c r="H448" s="210" t="str">
        <f>TEXT(A448,"ddd")</f>
        <v>Sat</v>
      </c>
    </row>
    <row r="449" spans="1:8" x14ac:dyDescent="0.25">
      <c r="A449" s="13"/>
      <c r="B449" s="14"/>
      <c r="C449" s="39"/>
      <c r="D449" s="39"/>
      <c r="E449" s="36" t="str">
        <f>IF(SUM(C449:D449)=0," ",SUM(C449:D449))</f>
        <v xml:space="preserve"> </v>
      </c>
      <c r="F449" s="14"/>
      <c r="G449" s="120" t="e">
        <f>VLOOKUP($B449,Information!$C$8:$F$15,4,FALSE)</f>
        <v>#N/A</v>
      </c>
      <c r="H449" s="210" t="str">
        <f>TEXT(A449,"ddd")</f>
        <v>Sat</v>
      </c>
    </row>
    <row r="450" spans="1:8" x14ac:dyDescent="0.25">
      <c r="A450" s="13"/>
      <c r="B450" s="14"/>
      <c r="C450" s="39"/>
      <c r="D450" s="39"/>
      <c r="E450" s="36" t="str">
        <f>IF(SUM(C450:D450)=0," ",SUM(C450:D450))</f>
        <v xml:space="preserve"> </v>
      </c>
      <c r="F450" s="14"/>
      <c r="G450" s="120" t="e">
        <f>VLOOKUP($B450,Information!$C$8:$F$15,4,FALSE)</f>
        <v>#N/A</v>
      </c>
      <c r="H450" s="210" t="str">
        <f>TEXT(A450,"ddd")</f>
        <v>Sat</v>
      </c>
    </row>
    <row r="451" spans="1:8" x14ac:dyDescent="0.25">
      <c r="A451" s="13"/>
      <c r="B451" s="14"/>
      <c r="C451" s="39"/>
      <c r="D451" s="39"/>
      <c r="E451" s="36" t="str">
        <f>IF(SUM(C451:D451)=0," ",SUM(C451:D451))</f>
        <v xml:space="preserve"> </v>
      </c>
      <c r="F451" s="14"/>
      <c r="G451" s="120" t="e">
        <f>VLOOKUP($B451,Information!$C$8:$F$15,4,FALSE)</f>
        <v>#N/A</v>
      </c>
      <c r="H451" s="210" t="str">
        <f>TEXT(A451,"ddd")</f>
        <v>Sat</v>
      </c>
    </row>
    <row r="452" spans="1:8" x14ac:dyDescent="0.25">
      <c r="A452" s="13"/>
      <c r="B452" s="14"/>
      <c r="C452" s="39"/>
      <c r="D452" s="39"/>
      <c r="E452" s="36" t="str">
        <f>IF(SUM(C452:D452)=0," ",SUM(C452:D452))</f>
        <v xml:space="preserve"> </v>
      </c>
      <c r="F452" s="14"/>
      <c r="G452" s="120" t="e">
        <f>VLOOKUP($B452,Information!$C$8:$F$15,4,FALSE)</f>
        <v>#N/A</v>
      </c>
      <c r="H452" s="210" t="str">
        <f>TEXT(A452,"ddd")</f>
        <v>Sat</v>
      </c>
    </row>
    <row r="453" spans="1:8" x14ac:dyDescent="0.25">
      <c r="A453" s="13"/>
      <c r="B453" s="14"/>
      <c r="C453" s="39"/>
      <c r="D453" s="39"/>
      <c r="E453" s="36" t="str">
        <f>IF(SUM(C453:D453)=0," ",SUM(C453:D453))</f>
        <v xml:space="preserve"> </v>
      </c>
      <c r="F453" s="14"/>
      <c r="G453" s="120" t="e">
        <f>VLOOKUP($B453,Information!$C$8:$F$15,4,FALSE)</f>
        <v>#N/A</v>
      </c>
      <c r="H453" s="210" t="str">
        <f>TEXT(A453,"ddd")</f>
        <v>Sat</v>
      </c>
    </row>
    <row r="454" spans="1:8" x14ac:dyDescent="0.25">
      <c r="A454" s="13"/>
      <c r="B454" s="14"/>
      <c r="C454" s="39"/>
      <c r="D454" s="39"/>
      <c r="E454" s="36" t="str">
        <f>IF(SUM(C454:D454)=0," ",SUM(C454:D454))</f>
        <v xml:space="preserve"> </v>
      </c>
      <c r="F454" s="14"/>
      <c r="G454" s="120" t="e">
        <f>VLOOKUP($B454,Information!$C$8:$F$15,4,FALSE)</f>
        <v>#N/A</v>
      </c>
      <c r="H454" s="210" t="str">
        <f>TEXT(A454,"ddd")</f>
        <v>Sat</v>
      </c>
    </row>
    <row r="455" spans="1:8" x14ac:dyDescent="0.25">
      <c r="A455" s="13"/>
      <c r="B455" s="14"/>
      <c r="C455" s="39"/>
      <c r="D455" s="39"/>
      <c r="E455" s="36" t="str">
        <f>IF(SUM(C455:D455)=0," ",SUM(C455:D455))</f>
        <v xml:space="preserve"> </v>
      </c>
      <c r="F455" s="14"/>
      <c r="G455" s="120" t="e">
        <f>VLOOKUP($B455,Information!$C$8:$F$15,4,FALSE)</f>
        <v>#N/A</v>
      </c>
      <c r="H455" s="210" t="str">
        <f>TEXT(A455,"ddd")</f>
        <v>Sat</v>
      </c>
    </row>
    <row r="456" spans="1:8" x14ac:dyDescent="0.25">
      <c r="A456" s="13"/>
      <c r="B456" s="14"/>
      <c r="C456" s="39"/>
      <c r="D456" s="39"/>
      <c r="E456" s="36" t="str">
        <f>IF(SUM(C456:D456)=0," ",SUM(C456:D456))</f>
        <v xml:space="preserve"> </v>
      </c>
      <c r="F456" s="14"/>
      <c r="G456" s="120" t="e">
        <f>VLOOKUP($B456,Information!$C$8:$F$15,4,FALSE)</f>
        <v>#N/A</v>
      </c>
      <c r="H456" s="210" t="str">
        <f>TEXT(A456,"ddd")</f>
        <v>Sat</v>
      </c>
    </row>
    <row r="457" spans="1:8" x14ac:dyDescent="0.25">
      <c r="A457" s="13"/>
      <c r="B457" s="14"/>
      <c r="C457" s="39"/>
      <c r="D457" s="39"/>
      <c r="E457" s="36" t="str">
        <f>IF(SUM(C457:D457)=0," ",SUM(C457:D457))</f>
        <v xml:space="preserve"> </v>
      </c>
      <c r="F457" s="14"/>
      <c r="G457" s="120" t="e">
        <f>VLOOKUP($B457,Information!$C$8:$F$15,4,FALSE)</f>
        <v>#N/A</v>
      </c>
      <c r="H457" s="210" t="str">
        <f>TEXT(A457,"ddd")</f>
        <v>Sat</v>
      </c>
    </row>
    <row r="458" spans="1:8" x14ac:dyDescent="0.25">
      <c r="A458" s="13"/>
      <c r="B458" s="14"/>
      <c r="C458" s="39"/>
      <c r="D458" s="39"/>
      <c r="E458" s="36" t="str">
        <f>IF(SUM(C458:D458)=0," ",SUM(C458:D458))</f>
        <v xml:space="preserve"> </v>
      </c>
      <c r="F458" s="14"/>
      <c r="G458" s="120" t="e">
        <f>VLOOKUP($B458,Information!$C$8:$F$15,4,FALSE)</f>
        <v>#N/A</v>
      </c>
      <c r="H458" s="210" t="str">
        <f>TEXT(A458,"ddd")</f>
        <v>Sat</v>
      </c>
    </row>
    <row r="459" spans="1:8" x14ac:dyDescent="0.25">
      <c r="A459" s="13"/>
      <c r="B459" s="14"/>
      <c r="C459" s="39"/>
      <c r="D459" s="39"/>
      <c r="E459" s="36" t="str">
        <f>IF(SUM(C459:D459)=0," ",SUM(C459:D459))</f>
        <v xml:space="preserve"> </v>
      </c>
      <c r="F459" s="14"/>
      <c r="G459" s="120" t="e">
        <f>VLOOKUP($B459,Information!$C$8:$F$15,4,FALSE)</f>
        <v>#N/A</v>
      </c>
      <c r="H459" s="210" t="str">
        <f>TEXT(A459,"ddd")</f>
        <v>Sat</v>
      </c>
    </row>
    <row r="460" spans="1:8" x14ac:dyDescent="0.25">
      <c r="A460" s="13"/>
      <c r="B460" s="14"/>
      <c r="C460" s="39"/>
      <c r="D460" s="39"/>
      <c r="E460" s="36" t="str">
        <f>IF(SUM(C460:D460)=0," ",SUM(C460:D460))</f>
        <v xml:space="preserve"> </v>
      </c>
      <c r="F460" s="14"/>
      <c r="G460" s="120" t="e">
        <f>VLOOKUP($B460,Information!$C$8:$F$15,4,FALSE)</f>
        <v>#N/A</v>
      </c>
      <c r="H460" s="210" t="str">
        <f>TEXT(A460,"ddd")</f>
        <v>Sat</v>
      </c>
    </row>
    <row r="461" spans="1:8" x14ac:dyDescent="0.25">
      <c r="A461" s="13"/>
      <c r="B461" s="14"/>
      <c r="C461" s="39"/>
      <c r="D461" s="39"/>
      <c r="E461" s="36" t="str">
        <f>IF(SUM(C461:D461)=0," ",SUM(C461:D461))</f>
        <v xml:space="preserve"> </v>
      </c>
      <c r="F461" s="14"/>
      <c r="G461" s="120" t="e">
        <f>VLOOKUP($B461,Information!$C$8:$F$15,4,FALSE)</f>
        <v>#N/A</v>
      </c>
      <c r="H461" s="210" t="str">
        <f>TEXT(A461,"ddd")</f>
        <v>Sat</v>
      </c>
    </row>
    <row r="462" spans="1:8" x14ac:dyDescent="0.25">
      <c r="A462" s="13"/>
      <c r="B462" s="14"/>
      <c r="C462" s="39"/>
      <c r="D462" s="39"/>
      <c r="E462" s="36" t="str">
        <f>IF(SUM(C462:D462)=0," ",SUM(C462:D462))</f>
        <v xml:space="preserve"> </v>
      </c>
      <c r="F462" s="14"/>
      <c r="G462" s="120" t="e">
        <f>VLOOKUP($B462,Information!$C$8:$F$15,4,FALSE)</f>
        <v>#N/A</v>
      </c>
      <c r="H462" s="210" t="str">
        <f>TEXT(A462,"ddd")</f>
        <v>Sat</v>
      </c>
    </row>
    <row r="463" spans="1:8" x14ac:dyDescent="0.25">
      <c r="A463" s="13"/>
      <c r="B463" s="14"/>
      <c r="C463" s="39"/>
      <c r="D463" s="39"/>
      <c r="E463" s="36" t="str">
        <f>IF(SUM(C463:D463)=0," ",SUM(C463:D463))</f>
        <v xml:space="preserve"> </v>
      </c>
      <c r="F463" s="14"/>
      <c r="G463" s="120" t="e">
        <f>VLOOKUP($B463,Information!$C$8:$F$15,4,FALSE)</f>
        <v>#N/A</v>
      </c>
      <c r="H463" s="210" t="str">
        <f>TEXT(A463,"ddd")</f>
        <v>Sat</v>
      </c>
    </row>
    <row r="464" spans="1:8" x14ac:dyDescent="0.25">
      <c r="A464" s="13"/>
      <c r="B464" s="14"/>
      <c r="C464" s="39"/>
      <c r="D464" s="39"/>
      <c r="E464" s="36" t="str">
        <f>IF(SUM(C464:D464)=0," ",SUM(C464:D464))</f>
        <v xml:space="preserve"> </v>
      </c>
      <c r="F464" s="14"/>
      <c r="G464" s="120" t="e">
        <f>VLOOKUP($B464,Information!$C$8:$F$15,4,FALSE)</f>
        <v>#N/A</v>
      </c>
      <c r="H464" s="210" t="str">
        <f>TEXT(A464,"ddd")</f>
        <v>Sat</v>
      </c>
    </row>
    <row r="465" spans="1:8" x14ac:dyDescent="0.25">
      <c r="A465" s="13"/>
      <c r="B465" s="14"/>
      <c r="C465" s="39"/>
      <c r="D465" s="39"/>
      <c r="E465" s="36" t="str">
        <f>IF(SUM(C465:D465)=0," ",SUM(C465:D465))</f>
        <v xml:space="preserve"> </v>
      </c>
      <c r="F465" s="14"/>
      <c r="G465" s="120" t="e">
        <f>VLOOKUP($B465,Information!$C$8:$F$15,4,FALSE)</f>
        <v>#N/A</v>
      </c>
      <c r="H465" s="210" t="str">
        <f>TEXT(A465,"ddd")</f>
        <v>Sat</v>
      </c>
    </row>
    <row r="466" spans="1:8" x14ac:dyDescent="0.25">
      <c r="A466" s="13"/>
      <c r="B466" s="14"/>
      <c r="C466" s="39"/>
      <c r="D466" s="39"/>
      <c r="E466" s="36" t="str">
        <f>IF(SUM(C466:D466)=0," ",SUM(C466:D466))</f>
        <v xml:space="preserve"> </v>
      </c>
      <c r="F466" s="14"/>
      <c r="G466" s="120" t="e">
        <f>VLOOKUP($B466,Information!$C$8:$F$15,4,FALSE)</f>
        <v>#N/A</v>
      </c>
      <c r="H466" s="210" t="str">
        <f>TEXT(A466,"ddd")</f>
        <v>Sat</v>
      </c>
    </row>
    <row r="467" spans="1:8" x14ac:dyDescent="0.25">
      <c r="A467" s="13"/>
      <c r="B467" s="14"/>
      <c r="C467" s="39"/>
      <c r="D467" s="39"/>
      <c r="E467" s="36" t="str">
        <f>IF(SUM(C467:D467)=0," ",SUM(C467:D467))</f>
        <v xml:space="preserve"> </v>
      </c>
      <c r="F467" s="14"/>
      <c r="G467" s="120" t="e">
        <f>VLOOKUP($B467,Information!$C$8:$F$15,4,FALSE)</f>
        <v>#N/A</v>
      </c>
      <c r="H467" s="210" t="str">
        <f>TEXT(A467,"ddd")</f>
        <v>Sat</v>
      </c>
    </row>
    <row r="468" spans="1:8" x14ac:dyDescent="0.25">
      <c r="A468" s="13"/>
      <c r="B468" s="14"/>
      <c r="C468" s="39"/>
      <c r="D468" s="39"/>
      <c r="E468" s="36" t="str">
        <f>IF(SUM(C468:D468)=0," ",SUM(C468:D468))</f>
        <v xml:space="preserve"> </v>
      </c>
      <c r="F468" s="14"/>
      <c r="G468" s="120" t="e">
        <f>VLOOKUP($B468,Information!$C$8:$F$15,4,FALSE)</f>
        <v>#N/A</v>
      </c>
      <c r="H468" s="210" t="str">
        <f>TEXT(A468,"ddd")</f>
        <v>Sat</v>
      </c>
    </row>
    <row r="469" spans="1:8" ht="13.8" customHeight="1" x14ac:dyDescent="0.25">
      <c r="A469" s="13"/>
      <c r="B469" s="14"/>
      <c r="C469" s="39"/>
      <c r="D469" s="39"/>
      <c r="E469" s="36" t="str">
        <f>IF(SUM(C469:D469)=0," ",SUM(C469:D469))</f>
        <v xml:space="preserve"> </v>
      </c>
      <c r="F469" s="14"/>
      <c r="G469" s="120" t="e">
        <f>VLOOKUP($B469,Information!$C$8:$F$15,4,FALSE)</f>
        <v>#N/A</v>
      </c>
      <c r="H469" s="210" t="str">
        <f>TEXT(A469,"ddd")</f>
        <v>Sat</v>
      </c>
    </row>
    <row r="470" spans="1:8" x14ac:dyDescent="0.25">
      <c r="A470" s="13"/>
      <c r="B470" s="14"/>
      <c r="C470" s="39"/>
      <c r="D470" s="39"/>
      <c r="E470" s="36" t="str">
        <f>IF(SUM(C470:D470)=0," ",SUM(C470:D470))</f>
        <v xml:space="preserve"> </v>
      </c>
      <c r="F470" s="14"/>
      <c r="G470" s="120" t="e">
        <f>VLOOKUP($B470,Information!$C$8:$F$15,4,FALSE)</f>
        <v>#N/A</v>
      </c>
      <c r="H470" s="210" t="str">
        <f>TEXT(A470,"ddd")</f>
        <v>Sat</v>
      </c>
    </row>
    <row r="471" spans="1:8" ht="13.8" customHeight="1" x14ac:dyDescent="0.25">
      <c r="A471" s="13"/>
      <c r="B471" s="14"/>
      <c r="C471" s="39"/>
      <c r="D471" s="39"/>
      <c r="E471" s="36" t="str">
        <f>IF(SUM(C471:D471)=0," ",SUM(C471:D471))</f>
        <v xml:space="preserve"> </v>
      </c>
      <c r="F471" s="14"/>
      <c r="G471" s="120" t="e">
        <f>VLOOKUP($B471,Information!$C$8:$F$15,4,FALSE)</f>
        <v>#N/A</v>
      </c>
      <c r="H471" s="210" t="str">
        <f>TEXT(A471,"ddd")</f>
        <v>Sat</v>
      </c>
    </row>
    <row r="472" spans="1:8" x14ac:dyDescent="0.25">
      <c r="A472" s="13"/>
      <c r="B472" s="14"/>
      <c r="C472" s="39"/>
      <c r="D472" s="39"/>
      <c r="E472" s="36" t="str">
        <f>IF(SUM(C472:D472)=0," ",SUM(C472:D472))</f>
        <v xml:space="preserve"> </v>
      </c>
      <c r="F472" s="14"/>
      <c r="G472" s="120" t="e">
        <f>VLOOKUP($B472,Information!$C$8:$F$15,4,FALSE)</f>
        <v>#N/A</v>
      </c>
      <c r="H472" s="210" t="str">
        <f>TEXT(A472,"ddd")</f>
        <v>Sat</v>
      </c>
    </row>
    <row r="473" spans="1:8" x14ac:dyDescent="0.25">
      <c r="A473" s="13"/>
      <c r="B473" s="14"/>
      <c r="C473" s="39"/>
      <c r="D473" s="39"/>
      <c r="E473" s="36" t="str">
        <f>IF(SUM(C473:D473)=0," ",SUM(C473:D473))</f>
        <v xml:space="preserve"> </v>
      </c>
      <c r="F473" s="14"/>
      <c r="G473" s="120" t="e">
        <f>VLOOKUP($B473,Information!$C$8:$F$15,4,FALSE)</f>
        <v>#N/A</v>
      </c>
      <c r="H473" s="210" t="str">
        <f>TEXT(A473,"ddd")</f>
        <v>Sat</v>
      </c>
    </row>
    <row r="474" spans="1:8" x14ac:dyDescent="0.25">
      <c r="A474" s="13"/>
      <c r="B474" s="14"/>
      <c r="C474" s="39"/>
      <c r="D474" s="39"/>
      <c r="E474" s="36" t="str">
        <f>IF(SUM(C474:D474)=0," ",SUM(C474:D474))</f>
        <v xml:space="preserve"> </v>
      </c>
      <c r="F474" s="14"/>
      <c r="G474" s="120" t="e">
        <f>VLOOKUP($B474,Information!$C$8:$F$15,4,FALSE)</f>
        <v>#N/A</v>
      </c>
      <c r="H474" s="210" t="str">
        <f>TEXT(A474,"ddd")</f>
        <v>Sat</v>
      </c>
    </row>
    <row r="475" spans="1:8" x14ac:dyDescent="0.25">
      <c r="A475" s="13"/>
      <c r="B475" s="14"/>
      <c r="C475" s="39"/>
      <c r="D475" s="39"/>
      <c r="E475" s="36" t="str">
        <f>IF(SUM(C475:D475)=0," ",SUM(C475:D475))</f>
        <v xml:space="preserve"> </v>
      </c>
      <c r="F475" s="14"/>
      <c r="G475" s="120" t="e">
        <f>VLOOKUP($B475,Information!$C$8:$F$15,4,FALSE)</f>
        <v>#N/A</v>
      </c>
      <c r="H475" s="210" t="str">
        <f>TEXT(A475,"ddd")</f>
        <v>Sat</v>
      </c>
    </row>
    <row r="476" spans="1:8" x14ac:dyDescent="0.25">
      <c r="A476" s="13"/>
      <c r="B476" s="14"/>
      <c r="C476" s="39"/>
      <c r="D476" s="39"/>
      <c r="E476" s="36" t="str">
        <f>IF(SUM(C476:D476)=0," ",SUM(C476:D476))</f>
        <v xml:space="preserve"> </v>
      </c>
      <c r="F476" s="14"/>
      <c r="G476" s="120" t="e">
        <f>VLOOKUP($B476,Information!$C$8:$F$15,4,FALSE)</f>
        <v>#N/A</v>
      </c>
      <c r="H476" s="210" t="str">
        <f>TEXT(A476,"ddd")</f>
        <v>Sat</v>
      </c>
    </row>
    <row r="477" spans="1:8" x14ac:dyDescent="0.25">
      <c r="A477" s="13"/>
      <c r="B477" s="14"/>
      <c r="C477" s="39"/>
      <c r="D477" s="39"/>
      <c r="E477" s="36" t="str">
        <f>IF(SUM(C477:D477)=0," ",SUM(C477:D477))</f>
        <v xml:space="preserve"> </v>
      </c>
      <c r="F477" s="14"/>
      <c r="G477" s="120" t="e">
        <f>VLOOKUP($B477,Information!$C$8:$F$15,4,FALSE)</f>
        <v>#N/A</v>
      </c>
      <c r="H477" s="210" t="str">
        <f>TEXT(A477,"ddd")</f>
        <v>Sat</v>
      </c>
    </row>
    <row r="478" spans="1:8" x14ac:dyDescent="0.25">
      <c r="A478" s="13"/>
      <c r="B478" s="14"/>
      <c r="C478" s="39"/>
      <c r="D478" s="39"/>
      <c r="E478" s="36" t="str">
        <f>IF(SUM(C478:D478)=0," ",SUM(C478:D478))</f>
        <v xml:space="preserve"> </v>
      </c>
      <c r="F478" s="14"/>
      <c r="G478" s="120" t="e">
        <f>VLOOKUP($B478,Information!$C$8:$F$15,4,FALSE)</f>
        <v>#N/A</v>
      </c>
      <c r="H478" s="210" t="str">
        <f>TEXT(A478,"ddd")</f>
        <v>Sat</v>
      </c>
    </row>
    <row r="479" spans="1:8" x14ac:dyDescent="0.25">
      <c r="A479" s="13"/>
      <c r="B479" s="14"/>
      <c r="C479" s="39"/>
      <c r="D479" s="39"/>
      <c r="E479" s="36" t="str">
        <f>IF(SUM(C479:D479)=0," ",SUM(C479:D479))</f>
        <v xml:space="preserve"> </v>
      </c>
      <c r="F479" s="14"/>
      <c r="G479" s="120" t="e">
        <f>VLOOKUP($B479,Information!$C$8:$F$15,4,FALSE)</f>
        <v>#N/A</v>
      </c>
      <c r="H479" s="210" t="str">
        <f>TEXT(A479,"ddd")</f>
        <v>Sat</v>
      </c>
    </row>
    <row r="480" spans="1:8" x14ac:dyDescent="0.25">
      <c r="A480" s="13"/>
      <c r="B480" s="14"/>
      <c r="C480" s="39"/>
      <c r="D480" s="39"/>
      <c r="E480" s="36" t="str">
        <f>IF(SUM(C480:D480)=0," ",SUM(C480:D480))</f>
        <v xml:space="preserve"> </v>
      </c>
      <c r="F480" s="14"/>
      <c r="G480" s="120" t="e">
        <f>VLOOKUP($B480,Information!$C$8:$F$15,4,FALSE)</f>
        <v>#N/A</v>
      </c>
      <c r="H480" s="210" t="str">
        <f>TEXT(A480,"ddd")</f>
        <v>Sat</v>
      </c>
    </row>
    <row r="481" spans="1:8" x14ac:dyDescent="0.25">
      <c r="A481" s="13"/>
      <c r="B481" s="14"/>
      <c r="C481" s="39"/>
      <c r="D481" s="39"/>
      <c r="E481" s="36" t="str">
        <f>IF(SUM(C481:D481)=0," ",SUM(C481:D481))</f>
        <v xml:space="preserve"> </v>
      </c>
      <c r="F481" s="14"/>
      <c r="G481" s="120" t="e">
        <f>VLOOKUP($B481,Information!$C$8:$F$15,4,FALSE)</f>
        <v>#N/A</v>
      </c>
      <c r="H481" s="210" t="str">
        <f>TEXT(A481,"ddd")</f>
        <v>Sat</v>
      </c>
    </row>
    <row r="482" spans="1:8" x14ac:dyDescent="0.25">
      <c r="A482" s="13"/>
      <c r="B482" s="14"/>
      <c r="C482" s="39"/>
      <c r="D482" s="39"/>
      <c r="E482" s="36" t="str">
        <f>IF(SUM(C482:D482)=0," ",SUM(C482:D482))</f>
        <v xml:space="preserve"> </v>
      </c>
      <c r="F482" s="14"/>
      <c r="G482" s="120" t="e">
        <f>VLOOKUP($B482,Information!$C$8:$F$15,4,FALSE)</f>
        <v>#N/A</v>
      </c>
      <c r="H482" s="210" t="str">
        <f>TEXT(A482,"ddd")</f>
        <v>Sat</v>
      </c>
    </row>
    <row r="483" spans="1:8" x14ac:dyDescent="0.25">
      <c r="A483" s="13"/>
      <c r="B483" s="14"/>
      <c r="C483" s="39"/>
      <c r="D483" s="39"/>
      <c r="E483" s="36" t="str">
        <f>IF(SUM(C483:D483)=0," ",SUM(C483:D483))</f>
        <v xml:space="preserve"> </v>
      </c>
      <c r="F483" s="14"/>
      <c r="G483" s="120" t="e">
        <f>VLOOKUP($B483,Information!$C$8:$F$15,4,FALSE)</f>
        <v>#N/A</v>
      </c>
      <c r="H483" s="210" t="str">
        <f>TEXT(A483,"ddd")</f>
        <v>Sat</v>
      </c>
    </row>
    <row r="484" spans="1:8" x14ac:dyDescent="0.25">
      <c r="A484" s="13"/>
      <c r="B484" s="14"/>
      <c r="C484" s="39"/>
      <c r="D484" s="39"/>
      <c r="E484" s="36" t="str">
        <f>IF(SUM(C484:D484)=0," ",SUM(C484:D484))</f>
        <v xml:space="preserve"> </v>
      </c>
      <c r="F484" s="14"/>
      <c r="G484" s="120" t="e">
        <f>VLOOKUP($B484,Information!$C$8:$F$15,4,FALSE)</f>
        <v>#N/A</v>
      </c>
      <c r="H484" s="210" t="str">
        <f>TEXT(A484,"ddd")</f>
        <v>Sat</v>
      </c>
    </row>
    <row r="485" spans="1:8" x14ac:dyDescent="0.25">
      <c r="A485" s="13"/>
      <c r="B485" s="14"/>
      <c r="C485" s="39"/>
      <c r="D485" s="39"/>
      <c r="E485" s="36" t="str">
        <f>IF(SUM(C485:D485)=0," ",SUM(C485:D485))</f>
        <v xml:space="preserve"> </v>
      </c>
      <c r="F485" s="14"/>
      <c r="G485" s="120" t="e">
        <f>VLOOKUP($B485,Information!$C$8:$F$15,4,FALSE)</f>
        <v>#N/A</v>
      </c>
      <c r="H485" s="210" t="str">
        <f>TEXT(A485,"ddd")</f>
        <v>Sat</v>
      </c>
    </row>
    <row r="486" spans="1:8" x14ac:dyDescent="0.25">
      <c r="A486" s="13"/>
      <c r="B486" s="14"/>
      <c r="C486" s="39"/>
      <c r="D486" s="39"/>
      <c r="E486" s="36" t="str">
        <f>IF(SUM(C486:D486)=0," ",SUM(C486:D486))</f>
        <v xml:space="preserve"> </v>
      </c>
      <c r="F486" s="14"/>
      <c r="G486" s="120" t="e">
        <f>VLOOKUP($B486,Information!$C$8:$F$15,4,FALSE)</f>
        <v>#N/A</v>
      </c>
      <c r="H486" s="210" t="str">
        <f>TEXT(A486,"ddd")</f>
        <v>Sat</v>
      </c>
    </row>
    <row r="487" spans="1:8" x14ac:dyDescent="0.25">
      <c r="A487" s="13"/>
      <c r="B487" s="14"/>
      <c r="C487" s="39"/>
      <c r="D487" s="39"/>
      <c r="E487" s="36" t="str">
        <f>IF(SUM(C487:D487)=0," ",SUM(C487:D487))</f>
        <v xml:space="preserve"> </v>
      </c>
      <c r="F487" s="14"/>
      <c r="G487" s="120" t="e">
        <f>VLOOKUP($B487,Information!$C$8:$F$15,4,FALSE)</f>
        <v>#N/A</v>
      </c>
      <c r="H487" s="210" t="str">
        <f>TEXT(A487,"ddd")</f>
        <v>Sat</v>
      </c>
    </row>
    <row r="488" spans="1:8" x14ac:dyDescent="0.25">
      <c r="A488" s="13"/>
      <c r="B488" s="14"/>
      <c r="C488" s="39"/>
      <c r="D488" s="39"/>
      <c r="E488" s="36" t="str">
        <f>IF(SUM(C488:D488)=0," ",SUM(C488:D488))</f>
        <v xml:space="preserve"> </v>
      </c>
      <c r="F488" s="14"/>
      <c r="G488" s="120" t="e">
        <f>VLOOKUP($B488,Information!$C$8:$F$15,4,FALSE)</f>
        <v>#N/A</v>
      </c>
      <c r="H488" s="210" t="str">
        <f>TEXT(A488,"ddd")</f>
        <v>Sat</v>
      </c>
    </row>
    <row r="489" spans="1:8" x14ac:dyDescent="0.25">
      <c r="A489" s="13"/>
      <c r="B489" s="14"/>
      <c r="C489" s="39"/>
      <c r="D489" s="39"/>
      <c r="E489" s="36" t="str">
        <f>IF(SUM(C489:D489)=0," ",SUM(C489:D489))</f>
        <v xml:space="preserve"> </v>
      </c>
      <c r="F489" s="14"/>
      <c r="G489" s="120" t="e">
        <f>VLOOKUP($B489,Information!$C$8:$F$15,4,FALSE)</f>
        <v>#N/A</v>
      </c>
      <c r="H489" s="210" t="str">
        <f>TEXT(A489,"ddd")</f>
        <v>Sat</v>
      </c>
    </row>
    <row r="490" spans="1:8" x14ac:dyDescent="0.25">
      <c r="A490" s="13"/>
      <c r="B490" s="14"/>
      <c r="C490" s="39"/>
      <c r="D490" s="39"/>
      <c r="E490" s="36" t="str">
        <f>IF(SUM(C490:D490)=0," ",SUM(C490:D490))</f>
        <v xml:space="preserve"> </v>
      </c>
      <c r="F490" s="14"/>
      <c r="G490" s="120" t="e">
        <f>VLOOKUP($B490,Information!$C$8:$F$15,4,FALSE)</f>
        <v>#N/A</v>
      </c>
      <c r="H490" s="210" t="str">
        <f>TEXT(A490,"ddd")</f>
        <v>Sat</v>
      </c>
    </row>
    <row r="491" spans="1:8" x14ac:dyDescent="0.25">
      <c r="A491" s="13"/>
      <c r="B491" s="14"/>
      <c r="C491" s="39"/>
      <c r="D491" s="39"/>
      <c r="E491" s="36" t="str">
        <f>IF(SUM(C491:D491)=0," ",SUM(C491:D491))</f>
        <v xml:space="preserve"> </v>
      </c>
      <c r="F491" s="14"/>
      <c r="G491" s="120" t="e">
        <f>VLOOKUP($B491,Information!$C$8:$F$15,4,FALSE)</f>
        <v>#N/A</v>
      </c>
      <c r="H491" s="210" t="str">
        <f>TEXT(A491,"ddd")</f>
        <v>Sat</v>
      </c>
    </row>
    <row r="492" spans="1:8" x14ac:dyDescent="0.25">
      <c r="A492" s="13"/>
      <c r="B492" s="14"/>
      <c r="C492" s="39"/>
      <c r="D492" s="39"/>
      <c r="E492" s="36" t="str">
        <f>IF(SUM(C492:D492)=0," ",SUM(C492:D492))</f>
        <v xml:space="preserve"> </v>
      </c>
      <c r="F492" s="14"/>
      <c r="G492" s="120" t="e">
        <f>VLOOKUP($B492,Information!$C$8:$F$15,4,FALSE)</f>
        <v>#N/A</v>
      </c>
      <c r="H492" s="210" t="str">
        <f>TEXT(A492,"ddd")</f>
        <v>Sat</v>
      </c>
    </row>
    <row r="493" spans="1:8" x14ac:dyDescent="0.25">
      <c r="A493" s="13"/>
      <c r="B493" s="14"/>
      <c r="C493" s="39"/>
      <c r="D493" s="39"/>
      <c r="E493" s="36" t="str">
        <f>IF(SUM(C493:D493)=0," ",SUM(C493:D493))</f>
        <v xml:space="preserve"> </v>
      </c>
      <c r="F493" s="14"/>
      <c r="G493" s="120" t="e">
        <f>VLOOKUP($B493,Information!$C$8:$F$15,4,FALSE)</f>
        <v>#N/A</v>
      </c>
      <c r="H493" s="210" t="str">
        <f>TEXT(A493,"ddd")</f>
        <v>Sat</v>
      </c>
    </row>
    <row r="494" spans="1:8" x14ac:dyDescent="0.25">
      <c r="A494" s="13"/>
      <c r="B494" s="14"/>
      <c r="C494" s="39"/>
      <c r="D494" s="39"/>
      <c r="E494" s="36" t="str">
        <f>IF(SUM(C494:D494)=0," ",SUM(C494:D494))</f>
        <v xml:space="preserve"> </v>
      </c>
      <c r="F494" s="14"/>
      <c r="G494" s="120" t="e">
        <f>VLOOKUP($B494,Information!$C$8:$F$15,4,FALSE)</f>
        <v>#N/A</v>
      </c>
      <c r="H494" s="210" t="str">
        <f>TEXT(A494,"ddd")</f>
        <v>Sat</v>
      </c>
    </row>
    <row r="495" spans="1:8" x14ac:dyDescent="0.25">
      <c r="A495" s="13"/>
      <c r="B495" s="14"/>
      <c r="C495" s="39"/>
      <c r="D495" s="39"/>
      <c r="E495" s="36" t="str">
        <f>IF(SUM(C495:D495)=0," ",SUM(C495:D495))</f>
        <v xml:space="preserve"> </v>
      </c>
      <c r="F495" s="14"/>
      <c r="G495" s="120" t="e">
        <f>VLOOKUP($B495,Information!$C$8:$F$15,4,FALSE)</f>
        <v>#N/A</v>
      </c>
      <c r="H495" s="210" t="str">
        <f>TEXT(A495,"ddd")</f>
        <v>Sat</v>
      </c>
    </row>
    <row r="496" spans="1:8" ht="13.8" customHeight="1" x14ac:dyDescent="0.3">
      <c r="A496" s="15"/>
      <c r="B496" s="14"/>
      <c r="C496" s="37"/>
      <c r="D496" s="37"/>
      <c r="E496" s="36" t="str">
        <f>IF(SUM(C496:D496)=0," ",SUM(C496:D496))</f>
        <v xml:space="preserve"> </v>
      </c>
      <c r="F496" s="18"/>
      <c r="G496" s="120" t="e">
        <f>VLOOKUP($B496,Information!$C$8:$F$15,4,FALSE)</f>
        <v>#N/A</v>
      </c>
      <c r="H496" s="210" t="str">
        <f>TEXT(A496,"ddd")</f>
        <v>Sat</v>
      </c>
    </row>
    <row r="497" spans="1:8" x14ac:dyDescent="0.25">
      <c r="A497" s="13"/>
      <c r="B497" s="14"/>
      <c r="C497" s="39"/>
      <c r="D497" s="39"/>
      <c r="E497" s="36" t="str">
        <f>IF(SUM(C497:D497)=0," ",SUM(C497:D497))</f>
        <v xml:space="preserve"> </v>
      </c>
      <c r="F497" s="14"/>
      <c r="G497" s="120" t="e">
        <f>VLOOKUP($B497,Information!$C$8:$F$15,4,FALSE)</f>
        <v>#N/A</v>
      </c>
      <c r="H497" s="210" t="str">
        <f>TEXT(A497,"ddd")</f>
        <v>Sat</v>
      </c>
    </row>
    <row r="498" spans="1:8" x14ac:dyDescent="0.25">
      <c r="A498" s="13"/>
      <c r="B498" s="14"/>
      <c r="C498" s="39"/>
      <c r="D498" s="39"/>
      <c r="E498" s="36" t="str">
        <f>IF(SUM(C498:D498)=0," ",SUM(C498:D498))</f>
        <v xml:space="preserve"> </v>
      </c>
      <c r="F498" s="14"/>
      <c r="G498" s="120" t="e">
        <f>VLOOKUP($B498,Information!$C$8:$F$15,4,FALSE)</f>
        <v>#N/A</v>
      </c>
      <c r="H498" s="210" t="str">
        <f>TEXT(A498,"ddd")</f>
        <v>Sat</v>
      </c>
    </row>
    <row r="499" spans="1:8" x14ac:dyDescent="0.25">
      <c r="A499" s="13"/>
      <c r="B499" s="14"/>
      <c r="C499" s="39"/>
      <c r="D499" s="39"/>
      <c r="E499" s="36" t="str">
        <f>IF(SUM(C499:D499)=0," ",SUM(C499:D499))</f>
        <v xml:space="preserve"> </v>
      </c>
      <c r="F499" s="14"/>
      <c r="G499" s="120" t="e">
        <f>VLOOKUP($B499,Information!$C$8:$F$15,4,FALSE)</f>
        <v>#N/A</v>
      </c>
      <c r="H499" s="210" t="str">
        <f>TEXT(A499,"ddd")</f>
        <v>Sat</v>
      </c>
    </row>
    <row r="500" spans="1:8" x14ac:dyDescent="0.25">
      <c r="A500" s="13"/>
      <c r="B500" s="14"/>
      <c r="C500" s="39"/>
      <c r="D500" s="39"/>
      <c r="E500" s="36" t="str">
        <f>IF(SUM(C500:D500)=0," ",SUM(C500:D500))</f>
        <v xml:space="preserve"> </v>
      </c>
      <c r="F500" s="14"/>
      <c r="G500" s="120" t="e">
        <f>VLOOKUP($B500,Information!$C$8:$F$15,4,FALSE)</f>
        <v>#N/A</v>
      </c>
      <c r="H500" s="210" t="str">
        <f>TEXT(A500,"ddd")</f>
        <v>Sat</v>
      </c>
    </row>
    <row r="501" spans="1:8" x14ac:dyDescent="0.25">
      <c r="A501" s="13"/>
      <c r="B501" s="14"/>
      <c r="C501" s="39"/>
      <c r="D501" s="39"/>
      <c r="E501" s="36" t="str">
        <f>IF(SUM(C501:D501)=0," ",SUM(C501:D501))</f>
        <v xml:space="preserve"> </v>
      </c>
      <c r="F501" s="14"/>
      <c r="G501" s="120" t="e">
        <f>VLOOKUP($B501,Information!$C$8:$F$15,4,FALSE)</f>
        <v>#N/A</v>
      </c>
      <c r="H501" s="210" t="str">
        <f>TEXT(A501,"ddd")</f>
        <v>Sat</v>
      </c>
    </row>
    <row r="502" spans="1:8" x14ac:dyDescent="0.25">
      <c r="A502" s="13"/>
      <c r="B502" s="14"/>
      <c r="C502" s="39"/>
      <c r="D502" s="39"/>
      <c r="E502" s="36" t="str">
        <f>IF(SUM(C502:D502)=0," ",SUM(C502:D502))</f>
        <v xml:space="preserve"> </v>
      </c>
      <c r="F502" s="14"/>
      <c r="G502" s="120" t="e">
        <f>VLOOKUP($B502,Information!$C$8:$F$15,4,FALSE)</f>
        <v>#N/A</v>
      </c>
      <c r="H502" s="210" t="str">
        <f>TEXT(A502,"ddd")</f>
        <v>Sat</v>
      </c>
    </row>
    <row r="503" spans="1:8" x14ac:dyDescent="0.25">
      <c r="A503" s="13"/>
      <c r="B503" s="14"/>
      <c r="C503" s="39"/>
      <c r="D503" s="39"/>
      <c r="E503" s="36" t="str">
        <f>IF(SUM(C503:D503)=0," ",SUM(C503:D503))</f>
        <v xml:space="preserve"> </v>
      </c>
      <c r="F503" s="14"/>
      <c r="G503" s="120" t="e">
        <f>VLOOKUP($B503,Information!$C$8:$F$15,4,FALSE)</f>
        <v>#N/A</v>
      </c>
      <c r="H503" s="210" t="str">
        <f>TEXT(A503,"ddd")</f>
        <v>Sat</v>
      </c>
    </row>
    <row r="504" spans="1:8" x14ac:dyDescent="0.25">
      <c r="A504" s="13"/>
      <c r="B504" s="14"/>
      <c r="C504" s="39"/>
      <c r="D504" s="39"/>
      <c r="E504" s="36" t="str">
        <f>IF(SUM(C504:D504)=0," ",SUM(C504:D504))</f>
        <v xml:space="preserve"> </v>
      </c>
      <c r="F504" s="14"/>
      <c r="G504" s="120" t="e">
        <f>VLOOKUP($B504,Information!$C$8:$F$15,4,FALSE)</f>
        <v>#N/A</v>
      </c>
      <c r="H504" s="210" t="str">
        <f>TEXT(A504,"ddd")</f>
        <v>Sat</v>
      </c>
    </row>
    <row r="505" spans="1:8" x14ac:dyDescent="0.25">
      <c r="A505" s="13"/>
      <c r="B505" s="14"/>
      <c r="C505" s="39"/>
      <c r="D505" s="39"/>
      <c r="E505" s="36" t="str">
        <f>IF(SUM(C505:D505)=0," ",SUM(C505:D505))</f>
        <v xml:space="preserve"> </v>
      </c>
      <c r="F505" s="14"/>
      <c r="G505" s="120" t="e">
        <f>VLOOKUP($B505,Information!$C$8:$F$15,4,FALSE)</f>
        <v>#N/A</v>
      </c>
      <c r="H505" s="210" t="str">
        <f>TEXT(A505,"ddd")</f>
        <v>Sat</v>
      </c>
    </row>
    <row r="506" spans="1:8" x14ac:dyDescent="0.25">
      <c r="A506" s="13"/>
      <c r="B506" s="14"/>
      <c r="C506" s="39"/>
      <c r="D506" s="39"/>
      <c r="E506" s="36" t="str">
        <f>IF(SUM(C506:D506)=0," ",SUM(C506:D506))</f>
        <v xml:space="preserve"> </v>
      </c>
      <c r="F506" s="14"/>
      <c r="G506" s="120" t="e">
        <f>VLOOKUP($B506,Information!$C$8:$F$15,4,FALSE)</f>
        <v>#N/A</v>
      </c>
      <c r="H506" s="210" t="str">
        <f>TEXT(A506,"ddd")</f>
        <v>Sat</v>
      </c>
    </row>
    <row r="507" spans="1:8" x14ac:dyDescent="0.25">
      <c r="A507" s="13"/>
      <c r="B507" s="14"/>
      <c r="C507" s="39"/>
      <c r="D507" s="39"/>
      <c r="E507" s="36" t="str">
        <f>IF(SUM(C507:D507)=0," ",SUM(C507:D507))</f>
        <v xml:space="preserve"> </v>
      </c>
      <c r="F507" s="14"/>
      <c r="G507" s="120" t="e">
        <f>VLOOKUP($B507,Information!$C$8:$F$15,4,FALSE)</f>
        <v>#N/A</v>
      </c>
      <c r="H507" s="210" t="str">
        <f>TEXT(A507,"ddd")</f>
        <v>Sat</v>
      </c>
    </row>
    <row r="508" spans="1:8" x14ac:dyDescent="0.25">
      <c r="A508" s="13"/>
      <c r="B508" s="14"/>
      <c r="C508" s="39"/>
      <c r="D508" s="39"/>
      <c r="E508" s="36" t="str">
        <f>IF(SUM(C508:D508)=0," ",SUM(C508:D508))</f>
        <v xml:space="preserve"> </v>
      </c>
      <c r="F508" s="14"/>
      <c r="G508" s="120" t="e">
        <f>VLOOKUP($B508,Information!$C$8:$F$15,4,FALSE)</f>
        <v>#N/A</v>
      </c>
      <c r="H508" s="210" t="str">
        <f>TEXT(A508,"ddd")</f>
        <v>Sat</v>
      </c>
    </row>
    <row r="509" spans="1:8" x14ac:dyDescent="0.25">
      <c r="A509" s="13"/>
      <c r="B509" s="14"/>
      <c r="C509" s="39"/>
      <c r="D509" s="39"/>
      <c r="E509" s="36" t="str">
        <f>IF(SUM(C509:D509)=0," ",SUM(C509:D509))</f>
        <v xml:space="preserve"> </v>
      </c>
      <c r="F509" s="14"/>
      <c r="G509" s="120" t="e">
        <f>VLOOKUP($B509,Information!$C$8:$F$15,4,FALSE)</f>
        <v>#N/A</v>
      </c>
      <c r="H509" s="210" t="str">
        <f>TEXT(A509,"ddd")</f>
        <v>Sat</v>
      </c>
    </row>
    <row r="510" spans="1:8" x14ac:dyDescent="0.25">
      <c r="A510" s="13"/>
      <c r="B510" s="14"/>
      <c r="C510" s="39"/>
      <c r="D510" s="39"/>
      <c r="E510" s="36" t="str">
        <f>IF(SUM(C510:D510)=0," ",SUM(C510:D510))</f>
        <v xml:space="preserve"> </v>
      </c>
      <c r="F510" s="14"/>
      <c r="G510" s="120" t="e">
        <f>VLOOKUP($B510,Information!$C$8:$F$15,4,FALSE)</f>
        <v>#N/A</v>
      </c>
      <c r="H510" s="210" t="str">
        <f>TEXT(A510,"ddd")</f>
        <v>Sat</v>
      </c>
    </row>
    <row r="511" spans="1:8" x14ac:dyDescent="0.25">
      <c r="A511" s="13"/>
      <c r="B511" s="14"/>
      <c r="C511" s="39"/>
      <c r="D511" s="39"/>
      <c r="E511" s="36" t="str">
        <f>IF(SUM(C511:D511)=0," ",SUM(C511:D511))</f>
        <v xml:space="preserve"> </v>
      </c>
      <c r="F511" s="14"/>
      <c r="G511" s="120" t="e">
        <f>VLOOKUP($B511,Information!$C$8:$F$15,4,FALSE)</f>
        <v>#N/A</v>
      </c>
      <c r="H511" s="210" t="str">
        <f>TEXT(A511,"ddd")</f>
        <v>Sat</v>
      </c>
    </row>
    <row r="512" spans="1:8" ht="13.8" customHeight="1" x14ac:dyDescent="0.25">
      <c r="A512" s="13"/>
      <c r="B512" s="14"/>
      <c r="C512" s="39"/>
      <c r="D512" s="39"/>
      <c r="E512" s="36" t="str">
        <f>IF(SUM(C512:D512)=0," ",SUM(C512:D512))</f>
        <v xml:space="preserve"> </v>
      </c>
      <c r="F512" s="14"/>
      <c r="G512" s="120" t="e">
        <f>VLOOKUP($B512,Information!$C$8:$F$15,4,FALSE)</f>
        <v>#N/A</v>
      </c>
      <c r="H512" s="210" t="str">
        <f>TEXT(A512,"ddd")</f>
        <v>Sat</v>
      </c>
    </row>
    <row r="513" spans="1:8" x14ac:dyDescent="0.25">
      <c r="A513" s="13"/>
      <c r="B513" s="14"/>
      <c r="C513" s="39"/>
      <c r="D513" s="39"/>
      <c r="E513" s="36" t="str">
        <f>IF(SUM(C513:D513)=0," ",SUM(C513:D513))</f>
        <v xml:space="preserve"> </v>
      </c>
      <c r="F513" s="14"/>
      <c r="G513" s="120" t="e">
        <f>VLOOKUP($B513,Information!$C$8:$F$15,4,FALSE)</f>
        <v>#N/A</v>
      </c>
      <c r="H513" s="210" t="str">
        <f>TEXT(A513,"ddd")</f>
        <v>Sat</v>
      </c>
    </row>
    <row r="514" spans="1:8" x14ac:dyDescent="0.25">
      <c r="A514" s="13"/>
      <c r="B514" s="14"/>
      <c r="C514" s="39"/>
      <c r="D514" s="39"/>
      <c r="E514" s="36" t="str">
        <f>IF(SUM(C514:D514)=0," ",SUM(C514:D514))</f>
        <v xml:space="preserve"> </v>
      </c>
      <c r="F514" s="14"/>
      <c r="G514" s="120" t="e">
        <f>VLOOKUP($B514,Information!$C$8:$F$15,4,FALSE)</f>
        <v>#N/A</v>
      </c>
      <c r="H514" s="210" t="str">
        <f>TEXT(A514,"ddd")</f>
        <v>Sat</v>
      </c>
    </row>
    <row r="515" spans="1:8" ht="13.8" customHeight="1" x14ac:dyDescent="0.25">
      <c r="A515" s="13"/>
      <c r="B515" s="14"/>
      <c r="C515" s="39"/>
      <c r="D515" s="39"/>
      <c r="E515" s="36" t="str">
        <f>IF(SUM(C515:D515)=0," ",SUM(C515:D515))</f>
        <v xml:space="preserve"> </v>
      </c>
      <c r="F515" s="14"/>
      <c r="G515" s="120" t="e">
        <f>VLOOKUP($B515,Information!$C$8:$F$15,4,FALSE)</f>
        <v>#N/A</v>
      </c>
      <c r="H515" s="210" t="str">
        <f>TEXT(A515,"ddd")</f>
        <v>Sat</v>
      </c>
    </row>
    <row r="516" spans="1:8" ht="13.8" customHeight="1" x14ac:dyDescent="0.25">
      <c r="A516" s="13"/>
      <c r="B516" s="14"/>
      <c r="C516" s="39"/>
      <c r="D516" s="39"/>
      <c r="E516" s="36" t="str">
        <f>IF(SUM(C516:D516)=0," ",SUM(C516:D516))</f>
        <v xml:space="preserve"> </v>
      </c>
      <c r="F516" s="14"/>
      <c r="G516" s="120" t="e">
        <f>VLOOKUP($B516,Information!$C$8:$F$15,4,FALSE)</f>
        <v>#N/A</v>
      </c>
      <c r="H516" s="210" t="str">
        <f>TEXT(A516,"ddd")</f>
        <v>Sat</v>
      </c>
    </row>
    <row r="517" spans="1:8" x14ac:dyDescent="0.25">
      <c r="A517" s="13"/>
      <c r="B517" s="14"/>
      <c r="C517" s="39"/>
      <c r="D517" s="39"/>
      <c r="E517" s="36" t="str">
        <f>IF(SUM(C517:D517)=0," ",SUM(C517:D517))</f>
        <v xml:space="preserve"> </v>
      </c>
      <c r="F517" s="14"/>
      <c r="G517" s="120" t="e">
        <f>VLOOKUP($B517,Information!$C$8:$F$15,4,FALSE)</f>
        <v>#N/A</v>
      </c>
      <c r="H517" s="210" t="str">
        <f>TEXT(A517,"ddd")</f>
        <v>Sat</v>
      </c>
    </row>
    <row r="518" spans="1:8" x14ac:dyDescent="0.25">
      <c r="A518" s="13"/>
      <c r="B518" s="14"/>
      <c r="C518" s="39"/>
      <c r="D518" s="39"/>
      <c r="E518" s="36" t="str">
        <f>IF(SUM(C518:D518)=0," ",SUM(C518:D518))</f>
        <v xml:space="preserve"> </v>
      </c>
      <c r="F518" s="14"/>
      <c r="G518" s="120" t="e">
        <f>VLOOKUP($B518,Information!$C$8:$F$15,4,FALSE)</f>
        <v>#N/A</v>
      </c>
      <c r="H518" s="210" t="str">
        <f>TEXT(A518,"ddd")</f>
        <v>Sat</v>
      </c>
    </row>
    <row r="519" spans="1:8" ht="13.8" customHeight="1" x14ac:dyDescent="0.25">
      <c r="A519" s="13"/>
      <c r="B519" s="14"/>
      <c r="C519" s="39"/>
      <c r="D519" s="39"/>
      <c r="E519" s="36" t="str">
        <f>IF(SUM(C519:D519)=0," ",SUM(C519:D519))</f>
        <v xml:space="preserve"> </v>
      </c>
      <c r="F519" s="14"/>
      <c r="G519" s="120" t="e">
        <f>VLOOKUP($B519,Information!$C$8:$F$15,4,FALSE)</f>
        <v>#N/A</v>
      </c>
      <c r="H519" s="210" t="str">
        <f>TEXT(A519,"ddd")</f>
        <v>Sat</v>
      </c>
    </row>
    <row r="520" spans="1:8" x14ac:dyDescent="0.25">
      <c r="A520" s="13"/>
      <c r="B520" s="14"/>
      <c r="C520" s="39"/>
      <c r="D520" s="39"/>
      <c r="E520" s="36" t="str">
        <f>IF(SUM(C520:D520)=0," ",SUM(C520:D520))</f>
        <v xml:space="preserve"> </v>
      </c>
      <c r="F520" s="14"/>
      <c r="G520" s="120" t="e">
        <f>VLOOKUP($B520,Information!$C$8:$F$15,4,FALSE)</f>
        <v>#N/A</v>
      </c>
      <c r="H520" s="210" t="str">
        <f>TEXT(A520,"ddd")</f>
        <v>Sat</v>
      </c>
    </row>
    <row r="521" spans="1:8" ht="13.8" customHeight="1" x14ac:dyDescent="0.25">
      <c r="A521" s="13"/>
      <c r="B521" s="14"/>
      <c r="C521" s="39"/>
      <c r="D521" s="39"/>
      <c r="E521" s="36" t="str">
        <f>IF(SUM(C521:D521)=0," ",SUM(C521:D521))</f>
        <v xml:space="preserve"> </v>
      </c>
      <c r="F521" s="14"/>
      <c r="G521" s="120" t="e">
        <f>VLOOKUP($B521,Information!$C$8:$F$15,4,FALSE)</f>
        <v>#N/A</v>
      </c>
      <c r="H521" s="210" t="str">
        <f>TEXT(A521,"ddd")</f>
        <v>Sat</v>
      </c>
    </row>
    <row r="522" spans="1:8" x14ac:dyDescent="0.25">
      <c r="A522" s="13"/>
      <c r="B522" s="14"/>
      <c r="C522" s="39"/>
      <c r="D522" s="39"/>
      <c r="E522" s="36" t="str">
        <f>IF(SUM(C522:D522)=0," ",SUM(C522:D522))</f>
        <v xml:space="preserve"> </v>
      </c>
      <c r="F522" s="14"/>
      <c r="G522" s="120" t="e">
        <f>VLOOKUP($B522,Information!$C$8:$F$15,4,FALSE)</f>
        <v>#N/A</v>
      </c>
      <c r="H522" s="210" t="str">
        <f>TEXT(A522,"ddd")</f>
        <v>Sat</v>
      </c>
    </row>
    <row r="523" spans="1:8" x14ac:dyDescent="0.25">
      <c r="A523" s="13"/>
      <c r="B523" s="14"/>
      <c r="C523" s="39"/>
      <c r="D523" s="39"/>
      <c r="E523" s="36" t="str">
        <f>IF(SUM(C523:D523)=0," ",SUM(C523:D523))</f>
        <v xml:space="preserve"> </v>
      </c>
      <c r="F523" s="14"/>
      <c r="G523" s="120" t="e">
        <f>VLOOKUP($B523,Information!$C$8:$F$15,4,FALSE)</f>
        <v>#N/A</v>
      </c>
      <c r="H523" s="210" t="str">
        <f>TEXT(A523,"ddd")</f>
        <v>Sat</v>
      </c>
    </row>
    <row r="524" spans="1:8" x14ac:dyDescent="0.25">
      <c r="A524" s="13"/>
      <c r="B524" s="14"/>
      <c r="C524" s="39"/>
      <c r="D524" s="39"/>
      <c r="E524" s="36" t="str">
        <f>IF(SUM(C524:D524)=0," ",SUM(C524:D524))</f>
        <v xml:space="preserve"> </v>
      </c>
      <c r="F524" s="14"/>
      <c r="G524" s="120" t="e">
        <f>VLOOKUP($B524,Information!$C$8:$F$15,4,FALSE)</f>
        <v>#N/A</v>
      </c>
      <c r="H524" s="210" t="str">
        <f>TEXT(A524,"ddd")</f>
        <v>Sat</v>
      </c>
    </row>
    <row r="525" spans="1:8" x14ac:dyDescent="0.25">
      <c r="A525" s="13"/>
      <c r="B525" s="14"/>
      <c r="C525" s="39"/>
      <c r="D525" s="39"/>
      <c r="E525" s="36" t="str">
        <f>IF(SUM(C525:D525)=0," ",SUM(C525:D525))</f>
        <v xml:space="preserve"> </v>
      </c>
      <c r="F525" s="14"/>
      <c r="G525" s="120" t="e">
        <f>VLOOKUP($B525,Information!$C$8:$F$15,4,FALSE)</f>
        <v>#N/A</v>
      </c>
      <c r="H525" s="210" t="str">
        <f>TEXT(A525,"ddd")</f>
        <v>Sat</v>
      </c>
    </row>
    <row r="526" spans="1:8" x14ac:dyDescent="0.25">
      <c r="A526" s="13"/>
      <c r="B526" s="14"/>
      <c r="C526" s="39"/>
      <c r="D526" s="39"/>
      <c r="E526" s="36" t="str">
        <f>IF(SUM(C526:D526)=0," ",SUM(C526:D526))</f>
        <v xml:space="preserve"> </v>
      </c>
      <c r="F526" s="14"/>
      <c r="G526" s="120" t="e">
        <f>VLOOKUP($B526,Information!$C$8:$F$15,4,FALSE)</f>
        <v>#N/A</v>
      </c>
      <c r="H526" s="210" t="str">
        <f>TEXT(A526,"ddd")</f>
        <v>Sat</v>
      </c>
    </row>
    <row r="527" spans="1:8" x14ac:dyDescent="0.25">
      <c r="A527" s="13"/>
      <c r="B527" s="14"/>
      <c r="C527" s="39"/>
      <c r="D527" s="39"/>
      <c r="E527" s="36" t="str">
        <f>IF(SUM(C527:D527)=0," ",SUM(C527:D527))</f>
        <v xml:space="preserve"> </v>
      </c>
      <c r="F527" s="14"/>
      <c r="G527" s="120" t="e">
        <f>VLOOKUP($B527,Information!$C$8:$F$15,4,FALSE)</f>
        <v>#N/A</v>
      </c>
      <c r="H527" s="210" t="str">
        <f>TEXT(A527,"ddd")</f>
        <v>Sat</v>
      </c>
    </row>
    <row r="528" spans="1:8" x14ac:dyDescent="0.25">
      <c r="A528" s="13"/>
      <c r="B528" s="14"/>
      <c r="C528" s="39"/>
      <c r="D528" s="39"/>
      <c r="E528" s="36" t="str">
        <f>IF(SUM(C528:D528)=0," ",SUM(C528:D528))</f>
        <v xml:space="preserve"> </v>
      </c>
      <c r="F528" s="14"/>
      <c r="G528" s="120" t="e">
        <f>VLOOKUP($B528,Information!$C$8:$F$15,4,FALSE)</f>
        <v>#N/A</v>
      </c>
      <c r="H528" s="210" t="str">
        <f>TEXT(A528,"ddd")</f>
        <v>Sat</v>
      </c>
    </row>
    <row r="529" spans="1:8" x14ac:dyDescent="0.25">
      <c r="A529" s="13"/>
      <c r="B529" s="14"/>
      <c r="C529" s="39"/>
      <c r="D529" s="39"/>
      <c r="E529" s="36" t="str">
        <f>IF(SUM(C529:D529)=0," ",SUM(C529:D529))</f>
        <v xml:space="preserve"> </v>
      </c>
      <c r="F529" s="14"/>
      <c r="G529" s="120" t="e">
        <f>VLOOKUP($B529,Information!$C$8:$F$15,4,FALSE)</f>
        <v>#N/A</v>
      </c>
      <c r="H529" s="210" t="str">
        <f>TEXT(A529,"ddd")</f>
        <v>Sat</v>
      </c>
    </row>
    <row r="530" spans="1:8" x14ac:dyDescent="0.25">
      <c r="A530" s="13"/>
      <c r="B530" s="14"/>
      <c r="C530" s="39"/>
      <c r="D530" s="39"/>
      <c r="E530" s="36" t="str">
        <f>IF(SUM(C530:D530)=0," ",SUM(C530:D530))</f>
        <v xml:space="preserve"> </v>
      </c>
      <c r="F530" s="14"/>
      <c r="G530" s="120" t="e">
        <f>VLOOKUP($B530,Information!$C$8:$F$15,4,FALSE)</f>
        <v>#N/A</v>
      </c>
      <c r="H530" s="210" t="str">
        <f>TEXT(A530,"ddd")</f>
        <v>Sat</v>
      </c>
    </row>
    <row r="531" spans="1:8" x14ac:dyDescent="0.25">
      <c r="A531" s="13"/>
      <c r="B531" s="14"/>
      <c r="C531" s="39"/>
      <c r="D531" s="39"/>
      <c r="E531" s="36" t="str">
        <f>IF(SUM(C531:D531)=0," ",SUM(C531:D531))</f>
        <v xml:space="preserve"> </v>
      </c>
      <c r="F531" s="14"/>
      <c r="G531" s="120" t="e">
        <f>VLOOKUP($B531,Information!$C$8:$F$15,4,FALSE)</f>
        <v>#N/A</v>
      </c>
      <c r="H531" s="210" t="str">
        <f>TEXT(A531,"ddd")</f>
        <v>Sat</v>
      </c>
    </row>
    <row r="532" spans="1:8" x14ac:dyDescent="0.25">
      <c r="A532" s="13"/>
      <c r="B532" s="14"/>
      <c r="C532" s="39"/>
      <c r="D532" s="39"/>
      <c r="E532" s="36" t="str">
        <f>IF(SUM(C532:D532)=0," ",SUM(C532:D532))</f>
        <v xml:space="preserve"> </v>
      </c>
      <c r="F532" s="14"/>
      <c r="G532" s="120" t="e">
        <f>VLOOKUP($B532,Information!$C$8:$F$15,4,FALSE)</f>
        <v>#N/A</v>
      </c>
      <c r="H532" s="210" t="str">
        <f>TEXT(A532,"ddd")</f>
        <v>Sat</v>
      </c>
    </row>
    <row r="533" spans="1:8" x14ac:dyDescent="0.25">
      <c r="A533" s="13"/>
      <c r="B533" s="14"/>
      <c r="C533" s="39"/>
      <c r="D533" s="39"/>
      <c r="E533" s="36" t="str">
        <f>IF(SUM(C533:D533)=0," ",SUM(C533:D533))</f>
        <v xml:space="preserve"> </v>
      </c>
      <c r="F533" s="14"/>
      <c r="G533" s="120" t="e">
        <f>VLOOKUP($B533,Information!$C$8:$F$15,4,FALSE)</f>
        <v>#N/A</v>
      </c>
      <c r="H533" s="210" t="str">
        <f>TEXT(A533,"ddd")</f>
        <v>Sat</v>
      </c>
    </row>
    <row r="534" spans="1:8" x14ac:dyDescent="0.25">
      <c r="A534" s="13"/>
      <c r="B534" s="14"/>
      <c r="C534" s="39"/>
      <c r="D534" s="39"/>
      <c r="E534" s="36" t="str">
        <f>IF(SUM(C534:D534)=0," ",SUM(C534:D534))</f>
        <v xml:space="preserve"> </v>
      </c>
      <c r="F534" s="14"/>
      <c r="G534" s="120" t="e">
        <f>VLOOKUP($B534,Information!$C$8:$F$15,4,FALSE)</f>
        <v>#N/A</v>
      </c>
      <c r="H534" s="210" t="str">
        <f>TEXT(A534,"ddd")</f>
        <v>Sat</v>
      </c>
    </row>
    <row r="535" spans="1:8" x14ac:dyDescent="0.25">
      <c r="A535" s="13"/>
      <c r="B535" s="14"/>
      <c r="C535" s="39"/>
      <c r="D535" s="39"/>
      <c r="E535" s="36" t="str">
        <f>IF(SUM(C535:D535)=0," ",SUM(C535:D535))</f>
        <v xml:space="preserve"> </v>
      </c>
      <c r="F535" s="14"/>
      <c r="G535" s="120" t="e">
        <f>VLOOKUP($B535,Information!$C$8:$F$15,4,FALSE)</f>
        <v>#N/A</v>
      </c>
      <c r="H535" s="210" t="str">
        <f>TEXT(A535,"ddd")</f>
        <v>Sat</v>
      </c>
    </row>
    <row r="536" spans="1:8" x14ac:dyDescent="0.25">
      <c r="A536" s="13"/>
      <c r="B536" s="14"/>
      <c r="C536" s="39"/>
      <c r="D536" s="39"/>
      <c r="E536" s="36" t="str">
        <f>IF(SUM(C536:D536)=0," ",SUM(C536:D536))</f>
        <v xml:space="preserve"> </v>
      </c>
      <c r="F536" s="14"/>
      <c r="G536" s="120" t="e">
        <f>VLOOKUP($B536,Information!$C$8:$F$15,4,FALSE)</f>
        <v>#N/A</v>
      </c>
      <c r="H536" s="210" t="str">
        <f>TEXT(A536,"ddd")</f>
        <v>Sat</v>
      </c>
    </row>
    <row r="537" spans="1:8" x14ac:dyDescent="0.25">
      <c r="A537" s="13"/>
      <c r="B537" s="14"/>
      <c r="C537" s="39"/>
      <c r="D537" s="39"/>
      <c r="E537" s="36" t="str">
        <f>IF(SUM(C537:D537)=0," ",SUM(C537:D537))</f>
        <v xml:space="preserve"> </v>
      </c>
      <c r="F537" s="14"/>
      <c r="G537" s="120" t="e">
        <f>VLOOKUP($B537,Information!$C$8:$F$15,4,FALSE)</f>
        <v>#N/A</v>
      </c>
      <c r="H537" s="210" t="str">
        <f>TEXT(A537,"ddd")</f>
        <v>Sat</v>
      </c>
    </row>
    <row r="538" spans="1:8" ht="13.8" customHeight="1" x14ac:dyDescent="0.25">
      <c r="A538" s="13"/>
      <c r="B538" s="14"/>
      <c r="C538" s="39"/>
      <c r="D538" s="39"/>
      <c r="E538" s="36" t="str">
        <f>IF(SUM(C538:D538)=0," ",SUM(C538:D538))</f>
        <v xml:space="preserve"> </v>
      </c>
      <c r="F538" s="14"/>
      <c r="G538" s="120" t="e">
        <f>VLOOKUP($B538,Information!$C$8:$F$15,4,FALSE)</f>
        <v>#N/A</v>
      </c>
      <c r="H538" s="210" t="str">
        <f>TEXT(A538,"ddd")</f>
        <v>Sat</v>
      </c>
    </row>
    <row r="539" spans="1:8" x14ac:dyDescent="0.25">
      <c r="A539" s="13"/>
      <c r="B539" s="14"/>
      <c r="C539" s="39"/>
      <c r="D539" s="39"/>
      <c r="E539" s="36" t="str">
        <f>IF(SUM(C539:D539)=0," ",SUM(C539:D539))</f>
        <v xml:space="preserve"> </v>
      </c>
      <c r="F539" s="14"/>
      <c r="G539" s="120" t="e">
        <f>VLOOKUP($B539,Information!$C$8:$F$15,4,FALSE)</f>
        <v>#N/A</v>
      </c>
      <c r="H539" s="210" t="str">
        <f>TEXT(A539,"ddd")</f>
        <v>Sat</v>
      </c>
    </row>
    <row r="540" spans="1:8" ht="13.8" customHeight="1" x14ac:dyDescent="0.25">
      <c r="A540" s="13"/>
      <c r="B540" s="14"/>
      <c r="C540" s="39"/>
      <c r="D540" s="39"/>
      <c r="E540" s="36" t="str">
        <f>IF(SUM(C540:D540)=0," ",SUM(C540:D540))</f>
        <v xml:space="preserve"> </v>
      </c>
      <c r="F540" s="14"/>
      <c r="G540" s="120" t="e">
        <f>VLOOKUP($B540,Information!$C$8:$F$15,4,FALSE)</f>
        <v>#N/A</v>
      </c>
      <c r="H540" s="210" t="str">
        <f>TEXT(A540,"ddd")</f>
        <v>Sat</v>
      </c>
    </row>
    <row r="541" spans="1:8" x14ac:dyDescent="0.25">
      <c r="A541" s="13"/>
      <c r="B541" s="14"/>
      <c r="C541" s="39"/>
      <c r="D541" s="39"/>
      <c r="E541" s="36" t="str">
        <f>IF(SUM(C541:D541)=0," ",SUM(C541:D541))</f>
        <v xml:space="preserve"> </v>
      </c>
      <c r="F541" s="14"/>
      <c r="G541" s="120" t="e">
        <f>VLOOKUP($B541,Information!$C$8:$F$15,4,FALSE)</f>
        <v>#N/A</v>
      </c>
      <c r="H541" s="210" t="str">
        <f>TEXT(A541,"ddd")</f>
        <v>Sat</v>
      </c>
    </row>
    <row r="542" spans="1:8" x14ac:dyDescent="0.25">
      <c r="A542" s="15"/>
      <c r="B542" s="14"/>
      <c r="C542" s="37"/>
      <c r="D542" s="37"/>
      <c r="E542" s="36" t="str">
        <f>IF(SUM(C542:D542)=0," ",SUM(C542:D542))</f>
        <v xml:space="preserve"> </v>
      </c>
      <c r="F542" s="14"/>
      <c r="G542" s="120" t="e">
        <f>VLOOKUP($B542,Information!$C$8:$F$15,4,FALSE)</f>
        <v>#N/A</v>
      </c>
      <c r="H542" s="210" t="str">
        <f>TEXT(A542,"ddd")</f>
        <v>Sat</v>
      </c>
    </row>
    <row r="543" spans="1:8" x14ac:dyDescent="0.25">
      <c r="A543" s="13"/>
      <c r="B543" s="14"/>
      <c r="C543" s="39"/>
      <c r="D543" s="39"/>
      <c r="E543" s="36" t="str">
        <f>IF(SUM(C543:D543)=0," ",SUM(C543:D543))</f>
        <v xml:space="preserve"> </v>
      </c>
      <c r="F543" s="14"/>
      <c r="G543" s="120" t="e">
        <f>VLOOKUP($B543,Information!$C$8:$F$15,4,FALSE)</f>
        <v>#N/A</v>
      </c>
      <c r="H543" s="210" t="str">
        <f>TEXT(A543,"ddd")</f>
        <v>Sat</v>
      </c>
    </row>
    <row r="544" spans="1:8" x14ac:dyDescent="0.25">
      <c r="A544" s="13"/>
      <c r="B544" s="14"/>
      <c r="C544" s="39"/>
      <c r="D544" s="39"/>
      <c r="E544" s="36" t="str">
        <f>IF(SUM(C544:D544)=0," ",SUM(C544:D544))</f>
        <v xml:space="preserve"> </v>
      </c>
      <c r="F544" s="14"/>
      <c r="G544" s="120" t="e">
        <f>VLOOKUP($B544,Information!$C$8:$F$15,4,FALSE)</f>
        <v>#N/A</v>
      </c>
      <c r="H544" s="210" t="str">
        <f>TEXT(A544,"ddd")</f>
        <v>Sat</v>
      </c>
    </row>
    <row r="545" spans="1:8" x14ac:dyDescent="0.25">
      <c r="A545" s="13"/>
      <c r="B545" s="14"/>
      <c r="C545" s="39"/>
      <c r="D545" s="39"/>
      <c r="E545" s="36" t="str">
        <f>IF(SUM(C545:D545)=0," ",SUM(C545:D545))</f>
        <v xml:space="preserve"> </v>
      </c>
      <c r="F545" s="14"/>
      <c r="G545" s="120" t="e">
        <f>VLOOKUP($B545,Information!$C$8:$F$15,4,FALSE)</f>
        <v>#N/A</v>
      </c>
      <c r="H545" s="210" t="str">
        <f>TEXT(A545,"ddd")</f>
        <v>Sat</v>
      </c>
    </row>
    <row r="546" spans="1:8" x14ac:dyDescent="0.25">
      <c r="A546" s="13"/>
      <c r="B546" s="14"/>
      <c r="C546" s="39"/>
      <c r="D546" s="39"/>
      <c r="E546" s="36" t="str">
        <f>IF(SUM(C546:D546)=0," ",SUM(C546:D546))</f>
        <v xml:space="preserve"> </v>
      </c>
      <c r="F546" s="14"/>
      <c r="G546" s="120" t="e">
        <f>VLOOKUP($B546,Information!$C$8:$F$15,4,FALSE)</f>
        <v>#N/A</v>
      </c>
      <c r="H546" s="210" t="str">
        <f>TEXT(A546,"ddd")</f>
        <v>Sat</v>
      </c>
    </row>
    <row r="547" spans="1:8" x14ac:dyDescent="0.25">
      <c r="A547" s="13"/>
      <c r="B547" s="14"/>
      <c r="C547" s="39"/>
      <c r="D547" s="39"/>
      <c r="E547" s="36" t="str">
        <f>IF(SUM(C547:D547)=0," ",SUM(C547:D547))</f>
        <v xml:space="preserve"> </v>
      </c>
      <c r="F547" s="14"/>
      <c r="G547" s="120" t="e">
        <f>VLOOKUP($B547,Information!$C$8:$F$15,4,FALSE)</f>
        <v>#N/A</v>
      </c>
      <c r="H547" s="210" t="str">
        <f>TEXT(A547,"ddd")</f>
        <v>Sat</v>
      </c>
    </row>
    <row r="548" spans="1:8" x14ac:dyDescent="0.25">
      <c r="A548" s="13"/>
      <c r="B548" s="14"/>
      <c r="C548" s="39"/>
      <c r="D548" s="39"/>
      <c r="E548" s="36" t="str">
        <f>IF(SUM(C548:D548)=0," ",SUM(C548:D548))</f>
        <v xml:space="preserve"> </v>
      </c>
      <c r="F548" s="14"/>
      <c r="G548" s="120" t="e">
        <f>VLOOKUP($B548,Information!$C$8:$F$15,4,FALSE)</f>
        <v>#N/A</v>
      </c>
      <c r="H548" s="210" t="str">
        <f>TEXT(A548,"ddd")</f>
        <v>Sat</v>
      </c>
    </row>
    <row r="549" spans="1:8" x14ac:dyDescent="0.25">
      <c r="A549" s="13"/>
      <c r="B549" s="14"/>
      <c r="C549" s="39"/>
      <c r="D549" s="39"/>
      <c r="E549" s="36" t="str">
        <f>IF(SUM(C549:D549)=0," ",SUM(C549:D549))</f>
        <v xml:space="preserve"> </v>
      </c>
      <c r="F549" s="14"/>
      <c r="G549" s="120" t="e">
        <f>VLOOKUP($B549,Information!$C$8:$F$15,4,FALSE)</f>
        <v>#N/A</v>
      </c>
      <c r="H549" s="210" t="str">
        <f>TEXT(A549,"ddd")</f>
        <v>Sat</v>
      </c>
    </row>
    <row r="550" spans="1:8" x14ac:dyDescent="0.25">
      <c r="A550" s="13"/>
      <c r="B550" s="14"/>
      <c r="C550" s="39"/>
      <c r="D550" s="39"/>
      <c r="E550" s="36" t="str">
        <f>IF(SUM(C550:D550)=0," ",SUM(C550:D550))</f>
        <v xml:space="preserve"> </v>
      </c>
      <c r="F550" s="14"/>
      <c r="G550" s="120" t="e">
        <f>VLOOKUP($B550,Information!$C$8:$F$15,4,FALSE)</f>
        <v>#N/A</v>
      </c>
      <c r="H550" s="210" t="str">
        <f>TEXT(A550,"ddd")</f>
        <v>Sat</v>
      </c>
    </row>
    <row r="551" spans="1:8" x14ac:dyDescent="0.25">
      <c r="A551" s="13"/>
      <c r="B551" s="14"/>
      <c r="C551" s="39"/>
      <c r="D551" s="39"/>
      <c r="E551" s="36" t="str">
        <f>IF(SUM(C551:D551)=0," ",SUM(C551:D551))</f>
        <v xml:space="preserve"> </v>
      </c>
      <c r="F551" s="14"/>
      <c r="G551" s="120" t="e">
        <f>VLOOKUP($B551,Information!$C$8:$F$15,4,FALSE)</f>
        <v>#N/A</v>
      </c>
      <c r="H551" s="210" t="str">
        <f>TEXT(A551,"ddd")</f>
        <v>Sat</v>
      </c>
    </row>
    <row r="552" spans="1:8" x14ac:dyDescent="0.25">
      <c r="A552" s="13"/>
      <c r="B552" s="14"/>
      <c r="C552" s="39"/>
      <c r="D552" s="39"/>
      <c r="E552" s="36" t="str">
        <f>IF(SUM(C552:D552)=0," ",SUM(C552:D552))</f>
        <v xml:space="preserve"> </v>
      </c>
      <c r="F552" s="14"/>
      <c r="G552" s="120" t="e">
        <f>VLOOKUP($B552,Information!$C$8:$F$15,4,FALSE)</f>
        <v>#N/A</v>
      </c>
      <c r="H552" s="210" t="str">
        <f>TEXT(A552,"ddd")</f>
        <v>Sat</v>
      </c>
    </row>
    <row r="553" spans="1:8" x14ac:dyDescent="0.25">
      <c r="A553" s="13"/>
      <c r="B553" s="14"/>
      <c r="C553" s="39"/>
      <c r="D553" s="39"/>
      <c r="E553" s="36" t="str">
        <f>IF(SUM(C553:D553)=0," ",SUM(C553:D553))</f>
        <v xml:space="preserve"> </v>
      </c>
      <c r="F553" s="14"/>
      <c r="G553" s="120" t="e">
        <f>VLOOKUP($B553,Information!$C$8:$F$15,4,FALSE)</f>
        <v>#N/A</v>
      </c>
      <c r="H553" s="210" t="str">
        <f>TEXT(A553,"ddd")</f>
        <v>Sat</v>
      </c>
    </row>
    <row r="554" spans="1:8" x14ac:dyDescent="0.25">
      <c r="A554" s="13"/>
      <c r="B554" s="14"/>
      <c r="C554" s="39"/>
      <c r="D554" s="39"/>
      <c r="E554" s="36" t="str">
        <f>IF(SUM(C554:D554)=0," ",SUM(C554:D554))</f>
        <v xml:space="preserve"> </v>
      </c>
      <c r="F554" s="14"/>
      <c r="G554" s="120" t="e">
        <f>VLOOKUP($B554,Information!$C$8:$F$15,4,FALSE)</f>
        <v>#N/A</v>
      </c>
      <c r="H554" s="210" t="str">
        <f>TEXT(A554,"ddd")</f>
        <v>Sat</v>
      </c>
    </row>
    <row r="555" spans="1:8" x14ac:dyDescent="0.25">
      <c r="A555" s="13"/>
      <c r="B555" s="14"/>
      <c r="C555" s="39"/>
      <c r="D555" s="39"/>
      <c r="E555" s="36" t="str">
        <f>IF(SUM(C555:D555)=0," ",SUM(C555:D555))</f>
        <v xml:space="preserve"> </v>
      </c>
      <c r="F555" s="14"/>
      <c r="G555" s="120" t="e">
        <f>VLOOKUP($B555,Information!$C$8:$F$15,4,FALSE)</f>
        <v>#N/A</v>
      </c>
      <c r="H555" s="210" t="str">
        <f>TEXT(A555,"ddd")</f>
        <v>Sat</v>
      </c>
    </row>
    <row r="556" spans="1:8" x14ac:dyDescent="0.25">
      <c r="A556" s="13"/>
      <c r="B556" s="14"/>
      <c r="C556" s="39"/>
      <c r="D556" s="39"/>
      <c r="E556" s="36" t="str">
        <f>IF(SUM(C556:D556)=0," ",SUM(C556:D556))</f>
        <v xml:space="preserve"> </v>
      </c>
      <c r="F556" s="14"/>
      <c r="G556" s="120" t="e">
        <f>VLOOKUP($B556,Information!$C$8:$F$15,4,FALSE)</f>
        <v>#N/A</v>
      </c>
      <c r="H556" s="210" t="str">
        <f>TEXT(A556,"ddd")</f>
        <v>Sat</v>
      </c>
    </row>
    <row r="557" spans="1:8" x14ac:dyDescent="0.25">
      <c r="A557" s="13"/>
      <c r="B557" s="14"/>
      <c r="C557" s="39"/>
      <c r="D557" s="39"/>
      <c r="E557" s="36" t="str">
        <f>IF(SUM(C557:D557)=0," ",SUM(C557:D557))</f>
        <v xml:space="preserve"> </v>
      </c>
      <c r="F557" s="14"/>
      <c r="G557" s="120" t="e">
        <f>VLOOKUP($B557,Information!$C$8:$F$15,4,FALSE)</f>
        <v>#N/A</v>
      </c>
      <c r="H557" s="210" t="str">
        <f>TEXT(A557,"ddd")</f>
        <v>Sat</v>
      </c>
    </row>
    <row r="558" spans="1:8" x14ac:dyDescent="0.25">
      <c r="A558" s="13"/>
      <c r="B558" s="14"/>
      <c r="C558" s="39"/>
      <c r="D558" s="39"/>
      <c r="E558" s="36" t="str">
        <f>IF(SUM(C558:D558)=0," ",SUM(C558:D558))</f>
        <v xml:space="preserve"> </v>
      </c>
      <c r="F558" s="14"/>
      <c r="G558" s="120" t="e">
        <f>VLOOKUP($B558,Information!$C$8:$F$15,4,FALSE)</f>
        <v>#N/A</v>
      </c>
      <c r="H558" s="210" t="str">
        <f>TEXT(A558,"ddd")</f>
        <v>Sat</v>
      </c>
    </row>
    <row r="559" spans="1:8" x14ac:dyDescent="0.25">
      <c r="A559" s="13"/>
      <c r="B559" s="14"/>
      <c r="C559" s="39"/>
      <c r="D559" s="39"/>
      <c r="E559" s="36" t="str">
        <f>IF(SUM(C559:D559)=0," ",SUM(C559:D559))</f>
        <v xml:space="preserve"> </v>
      </c>
      <c r="F559" s="14"/>
      <c r="G559" s="120" t="e">
        <f>VLOOKUP($B559,Information!$C$8:$F$15,4,FALSE)</f>
        <v>#N/A</v>
      </c>
      <c r="H559" s="210" t="str">
        <f>TEXT(A559,"ddd")</f>
        <v>Sat</v>
      </c>
    </row>
    <row r="560" spans="1:8" x14ac:dyDescent="0.25">
      <c r="A560" s="13"/>
      <c r="B560" s="14"/>
      <c r="C560" s="39"/>
      <c r="D560" s="39"/>
      <c r="E560" s="36" t="str">
        <f>IF(SUM(C560:D560)=0," ",SUM(C560:D560))</f>
        <v xml:space="preserve"> </v>
      </c>
      <c r="F560" s="14"/>
      <c r="G560" s="120" t="e">
        <f>VLOOKUP($B560,Information!$C$8:$F$15,4,FALSE)</f>
        <v>#N/A</v>
      </c>
      <c r="H560" s="210" t="str">
        <f>TEXT(A560,"ddd")</f>
        <v>Sat</v>
      </c>
    </row>
    <row r="561" spans="1:8" x14ac:dyDescent="0.25">
      <c r="A561" s="13"/>
      <c r="B561" s="14"/>
      <c r="C561" s="39"/>
      <c r="D561" s="39"/>
      <c r="E561" s="36" t="str">
        <f>IF(SUM(C561:D561)=0," ",SUM(C561:D561))</f>
        <v xml:space="preserve"> </v>
      </c>
      <c r="F561" s="14"/>
      <c r="G561" s="120" t="e">
        <f>VLOOKUP($B561,Information!$C$8:$F$15,4,FALSE)</f>
        <v>#N/A</v>
      </c>
      <c r="H561" s="210" t="str">
        <f>TEXT(A561,"ddd")</f>
        <v>Sat</v>
      </c>
    </row>
    <row r="562" spans="1:8" ht="13.8" customHeight="1" x14ac:dyDescent="0.25">
      <c r="A562" s="13"/>
      <c r="B562" s="14"/>
      <c r="C562" s="39"/>
      <c r="D562" s="39"/>
      <c r="E562" s="36" t="str">
        <f>IF(SUM(C562:D562)=0," ",SUM(C562:D562))</f>
        <v xml:space="preserve"> </v>
      </c>
      <c r="F562" s="14"/>
      <c r="G562" s="120" t="e">
        <f>VLOOKUP($B562,Information!$C$8:$F$15,4,FALSE)</f>
        <v>#N/A</v>
      </c>
      <c r="H562" s="210" t="str">
        <f>TEXT(A562,"ddd")</f>
        <v>Sat</v>
      </c>
    </row>
    <row r="563" spans="1:8" ht="13.8" customHeight="1" x14ac:dyDescent="0.3">
      <c r="A563" s="15"/>
      <c r="B563" s="14"/>
      <c r="C563" s="37"/>
      <c r="D563" s="37"/>
      <c r="E563" s="36" t="str">
        <f>IF(SUM(C563:D563)=0," ",SUM(C563:D563))</f>
        <v xml:space="preserve"> </v>
      </c>
      <c r="F563" s="18"/>
      <c r="G563" s="120" t="e">
        <f>VLOOKUP($B563,Information!$C$8:$F$15,4,FALSE)</f>
        <v>#N/A</v>
      </c>
      <c r="H563" s="210" t="str">
        <f>TEXT(A563,"ddd")</f>
        <v>Sat</v>
      </c>
    </row>
    <row r="564" spans="1:8" ht="13.8" customHeight="1" x14ac:dyDescent="0.25">
      <c r="A564" s="15"/>
      <c r="B564" s="14"/>
      <c r="C564" s="37"/>
      <c r="D564" s="37"/>
      <c r="E564" s="36" t="str">
        <f>IF(SUM(C564:D564)=0," ",SUM(C564:D564))</f>
        <v xml:space="preserve"> </v>
      </c>
      <c r="F564" s="17"/>
      <c r="G564" s="120" t="e">
        <f>VLOOKUP($B564,Information!$C$8:$F$15,4,FALSE)</f>
        <v>#N/A</v>
      </c>
      <c r="H564" s="210" t="str">
        <f>TEXT(A564,"ddd")</f>
        <v>Sat</v>
      </c>
    </row>
    <row r="565" spans="1:8" x14ac:dyDescent="0.25">
      <c r="A565" s="13"/>
      <c r="B565" s="14"/>
      <c r="C565" s="39"/>
      <c r="D565" s="39"/>
      <c r="E565" s="36" t="str">
        <f>IF(SUM(C565:D565)=0," ",SUM(C565:D565))</f>
        <v xml:space="preserve"> </v>
      </c>
      <c r="F565" s="14"/>
      <c r="G565" s="120" t="e">
        <f>VLOOKUP($B565,Information!$C$8:$F$15,4,FALSE)</f>
        <v>#N/A</v>
      </c>
      <c r="H565" s="210" t="str">
        <f>TEXT(A565,"ddd")</f>
        <v>Sat</v>
      </c>
    </row>
    <row r="566" spans="1:8" x14ac:dyDescent="0.25">
      <c r="A566" s="13"/>
      <c r="B566" s="14"/>
      <c r="C566" s="39"/>
      <c r="D566" s="39"/>
      <c r="E566" s="36" t="str">
        <f>IF(SUM(C566:D566)=0," ",SUM(C566:D566))</f>
        <v xml:space="preserve"> </v>
      </c>
      <c r="F566" s="14"/>
      <c r="G566" s="120" t="e">
        <f>VLOOKUP($B566,Information!$C$8:$F$15,4,FALSE)</f>
        <v>#N/A</v>
      </c>
      <c r="H566" s="210" t="str">
        <f>TEXT(A566,"ddd")</f>
        <v>Sat</v>
      </c>
    </row>
    <row r="567" spans="1:8" x14ac:dyDescent="0.25">
      <c r="A567" s="13"/>
      <c r="B567" s="14"/>
      <c r="C567" s="39"/>
      <c r="D567" s="39"/>
      <c r="E567" s="36" t="str">
        <f>IF(SUM(C567:D567)=0," ",SUM(C567:D567))</f>
        <v xml:space="preserve"> </v>
      </c>
      <c r="F567" s="14"/>
      <c r="G567" s="120" t="e">
        <f>VLOOKUP($B567,Information!$C$8:$F$15,4,FALSE)</f>
        <v>#N/A</v>
      </c>
      <c r="H567" s="210" t="str">
        <f>TEXT(A567,"ddd")</f>
        <v>Sat</v>
      </c>
    </row>
    <row r="568" spans="1:8" x14ac:dyDescent="0.25">
      <c r="A568" s="13"/>
      <c r="B568" s="14"/>
      <c r="C568" s="39"/>
      <c r="D568" s="39"/>
      <c r="E568" s="36" t="str">
        <f>IF(SUM(C568:D568)=0," ",SUM(C568:D568))</f>
        <v xml:space="preserve"> </v>
      </c>
      <c r="F568" s="14"/>
      <c r="G568" s="120" t="e">
        <f>VLOOKUP($B568,Information!$C$8:$F$15,4,FALSE)</f>
        <v>#N/A</v>
      </c>
      <c r="H568" s="210" t="str">
        <f>TEXT(A568,"ddd")</f>
        <v>Sat</v>
      </c>
    </row>
    <row r="569" spans="1:8" x14ac:dyDescent="0.25">
      <c r="A569" s="13"/>
      <c r="B569" s="14"/>
      <c r="C569" s="39"/>
      <c r="D569" s="39"/>
      <c r="E569" s="36" t="str">
        <f>IF(SUM(C569:D569)=0," ",SUM(C569:D569))</f>
        <v xml:space="preserve"> </v>
      </c>
      <c r="F569" s="14"/>
      <c r="G569" s="120" t="e">
        <f>VLOOKUP($B569,Information!$C$8:$F$15,4,FALSE)</f>
        <v>#N/A</v>
      </c>
      <c r="H569" s="210" t="str">
        <f>TEXT(A569,"ddd")</f>
        <v>Sat</v>
      </c>
    </row>
    <row r="570" spans="1:8" x14ac:dyDescent="0.25">
      <c r="A570" s="13"/>
      <c r="B570" s="14"/>
      <c r="C570" s="39"/>
      <c r="D570" s="39"/>
      <c r="E570" s="36" t="str">
        <f>IF(SUM(C570:D570)=0," ",SUM(C570:D570))</f>
        <v xml:space="preserve"> </v>
      </c>
      <c r="F570" s="14"/>
      <c r="G570" s="120" t="e">
        <f>VLOOKUP($B570,Information!$C$8:$F$15,4,FALSE)</f>
        <v>#N/A</v>
      </c>
      <c r="H570" s="210" t="str">
        <f>TEXT(A570,"ddd")</f>
        <v>Sat</v>
      </c>
    </row>
    <row r="571" spans="1:8" x14ac:dyDescent="0.25">
      <c r="A571" s="13"/>
      <c r="B571" s="14"/>
      <c r="C571" s="39"/>
      <c r="D571" s="39"/>
      <c r="E571" s="36" t="str">
        <f>IF(SUM(C571:D571)=0," ",SUM(C571:D571))</f>
        <v xml:space="preserve"> </v>
      </c>
      <c r="F571" s="14"/>
      <c r="G571" s="120" t="e">
        <f>VLOOKUP($B571,Information!$C$8:$F$15,4,FALSE)</f>
        <v>#N/A</v>
      </c>
      <c r="H571" s="210" t="str">
        <f>TEXT(A571,"ddd")</f>
        <v>Sat</v>
      </c>
    </row>
    <row r="572" spans="1:8" x14ac:dyDescent="0.25">
      <c r="A572" s="13"/>
      <c r="B572" s="14"/>
      <c r="C572" s="39"/>
      <c r="D572" s="39"/>
      <c r="E572" s="36" t="str">
        <f>IF(SUM(C572:D572)=0," ",SUM(C572:D572))</f>
        <v xml:space="preserve"> </v>
      </c>
      <c r="F572" s="14"/>
      <c r="G572" s="120" t="e">
        <f>VLOOKUP($B572,Information!$C$8:$F$15,4,FALSE)</f>
        <v>#N/A</v>
      </c>
      <c r="H572" s="210" t="str">
        <f>TEXT(A572,"ddd")</f>
        <v>Sat</v>
      </c>
    </row>
    <row r="573" spans="1:8" x14ac:dyDescent="0.25">
      <c r="A573" s="13"/>
      <c r="B573" s="14"/>
      <c r="C573" s="39"/>
      <c r="D573" s="39"/>
      <c r="E573" s="36" t="str">
        <f>IF(SUM(C573:D573)=0," ",SUM(C573:D573))</f>
        <v xml:space="preserve"> </v>
      </c>
      <c r="F573" s="14"/>
      <c r="G573" s="120" t="e">
        <f>VLOOKUP($B573,Information!$C$8:$F$15,4,FALSE)</f>
        <v>#N/A</v>
      </c>
      <c r="H573" s="210" t="str">
        <f>TEXT(A573,"ddd")</f>
        <v>Sat</v>
      </c>
    </row>
    <row r="574" spans="1:8" ht="13.8" customHeight="1" x14ac:dyDescent="0.25">
      <c r="A574" s="13"/>
      <c r="B574" s="14"/>
      <c r="C574" s="39"/>
      <c r="D574" s="39"/>
      <c r="E574" s="36" t="str">
        <f>IF(SUM(C574:D574)=0," ",SUM(C574:D574))</f>
        <v xml:space="preserve"> </v>
      </c>
      <c r="F574" s="14"/>
      <c r="G574" s="120" t="e">
        <f>VLOOKUP($B574,Information!$C$8:$F$15,4,FALSE)</f>
        <v>#N/A</v>
      </c>
      <c r="H574" s="210" t="str">
        <f>TEXT(A574,"ddd")</f>
        <v>Sat</v>
      </c>
    </row>
    <row r="575" spans="1:8" x14ac:dyDescent="0.25">
      <c r="A575" s="13"/>
      <c r="B575" s="14"/>
      <c r="C575" s="39"/>
      <c r="D575" s="39"/>
      <c r="E575" s="36" t="str">
        <f>IF(SUM(C575:D575)=0," ",SUM(C575:D575))</f>
        <v xml:space="preserve"> </v>
      </c>
      <c r="F575" s="14"/>
      <c r="G575" s="120" t="e">
        <f>VLOOKUP($B575,Information!$C$8:$F$15,4,FALSE)</f>
        <v>#N/A</v>
      </c>
      <c r="H575" s="210" t="str">
        <f>TEXT(A575,"ddd")</f>
        <v>Sat</v>
      </c>
    </row>
    <row r="576" spans="1:8" ht="13.8" customHeight="1" x14ac:dyDescent="0.25">
      <c r="A576" s="13"/>
      <c r="B576" s="14"/>
      <c r="C576" s="39"/>
      <c r="D576" s="39"/>
      <c r="E576" s="36" t="str">
        <f>IF(SUM(C576:D576)=0," ",SUM(C576:D576))</f>
        <v xml:space="preserve"> </v>
      </c>
      <c r="F576" s="14"/>
      <c r="G576" s="120" t="e">
        <f>VLOOKUP($B576,Information!$C$8:$F$15,4,FALSE)</f>
        <v>#N/A</v>
      </c>
      <c r="H576" s="210" t="str">
        <f>TEXT(A576,"ddd")</f>
        <v>Sat</v>
      </c>
    </row>
    <row r="577" spans="1:8" ht="13.8" customHeight="1" x14ac:dyDescent="0.25">
      <c r="A577" s="13"/>
      <c r="B577" s="14"/>
      <c r="C577" s="39"/>
      <c r="D577" s="39"/>
      <c r="E577" s="36" t="str">
        <f>IF(SUM(C577:D577)=0," ",SUM(C577:D577))</f>
        <v xml:space="preserve"> </v>
      </c>
      <c r="F577" s="14"/>
      <c r="G577" s="120" t="e">
        <f>VLOOKUP($B577,Information!$C$8:$F$15,4,FALSE)</f>
        <v>#N/A</v>
      </c>
      <c r="H577" s="210" t="str">
        <f>TEXT(A577,"ddd")</f>
        <v>Sat</v>
      </c>
    </row>
    <row r="578" spans="1:8" x14ac:dyDescent="0.25">
      <c r="A578" s="13"/>
      <c r="B578" s="14"/>
      <c r="C578" s="39"/>
      <c r="D578" s="39"/>
      <c r="E578" s="36" t="str">
        <f>IF(SUM(C578:D578)=0," ",SUM(C578:D578))</f>
        <v xml:space="preserve"> </v>
      </c>
      <c r="F578" s="14"/>
      <c r="G578" s="120" t="e">
        <f>VLOOKUP($B578,Information!$C$8:$F$15,4,FALSE)</f>
        <v>#N/A</v>
      </c>
      <c r="H578" s="210" t="str">
        <f>TEXT(A578,"ddd")</f>
        <v>Sat</v>
      </c>
    </row>
    <row r="579" spans="1:8" ht="13.8" customHeight="1" x14ac:dyDescent="0.25">
      <c r="A579" s="13"/>
      <c r="B579" s="14"/>
      <c r="C579" s="39"/>
      <c r="D579" s="39"/>
      <c r="E579" s="36" t="str">
        <f>IF(SUM(C579:D579)=0," ",SUM(C579:D579))</f>
        <v xml:space="preserve"> </v>
      </c>
      <c r="F579" s="14"/>
      <c r="G579" s="120" t="e">
        <f>VLOOKUP($B579,Information!$C$8:$F$15,4,FALSE)</f>
        <v>#N/A</v>
      </c>
      <c r="H579" s="210" t="str">
        <f>TEXT(A579,"ddd")</f>
        <v>Sat</v>
      </c>
    </row>
    <row r="580" spans="1:8" x14ac:dyDescent="0.25">
      <c r="A580" s="15"/>
      <c r="B580" s="14"/>
      <c r="C580" s="37"/>
      <c r="D580" s="37"/>
      <c r="E580" s="36" t="str">
        <f>IF(SUM(C580:D580)=0," ",SUM(C580:D580))</f>
        <v xml:space="preserve"> </v>
      </c>
      <c r="F580" s="17"/>
      <c r="G580" s="120" t="e">
        <f>VLOOKUP($B580,Information!$C$8:$F$15,4,FALSE)</f>
        <v>#N/A</v>
      </c>
      <c r="H580" s="210" t="str">
        <f>TEXT(A580,"ddd")</f>
        <v>Sat</v>
      </c>
    </row>
    <row r="581" spans="1:8" x14ac:dyDescent="0.25">
      <c r="A581" s="13"/>
      <c r="B581" s="14"/>
      <c r="C581" s="39"/>
      <c r="D581" s="39"/>
      <c r="E581" s="36" t="str">
        <f>IF(SUM(C581:D581)=0," ",SUM(C581:D581))</f>
        <v xml:space="preserve"> </v>
      </c>
      <c r="F581" s="14"/>
      <c r="G581" s="120" t="e">
        <f>VLOOKUP($B581,Information!$C$8:$F$15,4,FALSE)</f>
        <v>#N/A</v>
      </c>
      <c r="H581" s="210" t="str">
        <f>TEXT(A581,"ddd")</f>
        <v>Sat</v>
      </c>
    </row>
    <row r="582" spans="1:8" x14ac:dyDescent="0.25">
      <c r="A582" s="13"/>
      <c r="B582" s="14"/>
      <c r="C582" s="39"/>
      <c r="D582" s="39"/>
      <c r="E582" s="36" t="str">
        <f>IF(SUM(C582:D582)=0," ",SUM(C582:D582))</f>
        <v xml:space="preserve"> </v>
      </c>
      <c r="F582" s="14"/>
      <c r="G582" s="120" t="e">
        <f>VLOOKUP($B582,Information!$C$8:$F$15,4,FALSE)</f>
        <v>#N/A</v>
      </c>
      <c r="H582" s="210" t="str">
        <f>TEXT(A582,"ddd")</f>
        <v>Sat</v>
      </c>
    </row>
    <row r="583" spans="1:8" x14ac:dyDescent="0.25">
      <c r="A583" s="13"/>
      <c r="B583" s="14"/>
      <c r="C583" s="39"/>
      <c r="D583" s="39"/>
      <c r="E583" s="36" t="str">
        <f>IF(SUM(C583:D583)=0," ",SUM(C583:D583))</f>
        <v xml:space="preserve"> </v>
      </c>
      <c r="F583" s="14"/>
      <c r="G583" s="120" t="e">
        <f>VLOOKUP($B583,Information!$C$8:$F$15,4,FALSE)</f>
        <v>#N/A</v>
      </c>
      <c r="H583" s="210" t="str">
        <f>TEXT(A583,"ddd")</f>
        <v>Sat</v>
      </c>
    </row>
    <row r="584" spans="1:8" x14ac:dyDescent="0.25">
      <c r="A584" s="13"/>
      <c r="B584" s="14"/>
      <c r="C584" s="39"/>
      <c r="D584" s="39"/>
      <c r="E584" s="36" t="str">
        <f>IF(SUM(C584:D584)=0," ",SUM(C584:D584))</f>
        <v xml:space="preserve"> </v>
      </c>
      <c r="F584" s="14"/>
      <c r="G584" s="120" t="e">
        <f>VLOOKUP($B584,Information!$C$8:$F$15,4,FALSE)</f>
        <v>#N/A</v>
      </c>
      <c r="H584" s="210" t="str">
        <f>TEXT(A584,"ddd")</f>
        <v>Sat</v>
      </c>
    </row>
    <row r="585" spans="1:8" x14ac:dyDescent="0.25">
      <c r="A585" s="13"/>
      <c r="B585" s="14"/>
      <c r="C585" s="39"/>
      <c r="D585" s="39"/>
      <c r="E585" s="36" t="str">
        <f>IF(SUM(C585:D585)=0," ",SUM(C585:D585))</f>
        <v xml:space="preserve"> </v>
      </c>
      <c r="F585" s="14"/>
      <c r="G585" s="120" t="e">
        <f>VLOOKUP($B585,Information!$C$8:$F$15,4,FALSE)</f>
        <v>#N/A</v>
      </c>
      <c r="H585" s="210" t="str">
        <f>TEXT(A585,"ddd")</f>
        <v>Sat</v>
      </c>
    </row>
    <row r="586" spans="1:8" x14ac:dyDescent="0.25">
      <c r="A586" s="13"/>
      <c r="B586" s="14"/>
      <c r="C586" s="39"/>
      <c r="D586" s="39"/>
      <c r="E586" s="36" t="str">
        <f>IF(SUM(C586:D586)=0," ",SUM(C586:D586))</f>
        <v xml:space="preserve"> </v>
      </c>
      <c r="F586" s="14"/>
      <c r="G586" s="120" t="e">
        <f>VLOOKUP($B586,Information!$C$8:$F$15,4,FALSE)</f>
        <v>#N/A</v>
      </c>
      <c r="H586" s="210" t="str">
        <f>TEXT(A586,"ddd")</f>
        <v>Sat</v>
      </c>
    </row>
    <row r="587" spans="1:8" x14ac:dyDescent="0.25">
      <c r="A587" s="13"/>
      <c r="B587" s="14"/>
      <c r="C587" s="39"/>
      <c r="D587" s="39"/>
      <c r="E587" s="36" t="str">
        <f>IF(SUM(C587:D587)=0," ",SUM(C587:D587))</f>
        <v xml:space="preserve"> </v>
      </c>
      <c r="F587" s="14"/>
      <c r="G587" s="120" t="e">
        <f>VLOOKUP($B587,Information!$C$8:$F$15,4,FALSE)</f>
        <v>#N/A</v>
      </c>
      <c r="H587" s="210" t="str">
        <f>TEXT(A587,"ddd")</f>
        <v>Sat</v>
      </c>
    </row>
    <row r="588" spans="1:8" x14ac:dyDescent="0.25">
      <c r="A588" s="13"/>
      <c r="B588" s="14"/>
      <c r="C588" s="39"/>
      <c r="D588" s="39"/>
      <c r="E588" s="36" t="str">
        <f>IF(SUM(C588:D588)=0," ",SUM(C588:D588))</f>
        <v xml:space="preserve"> </v>
      </c>
      <c r="F588" s="14"/>
      <c r="G588" s="120" t="e">
        <f>VLOOKUP($B588,Information!$C$8:$F$15,4,FALSE)</f>
        <v>#N/A</v>
      </c>
      <c r="H588" s="210" t="str">
        <f>TEXT(A588,"ddd")</f>
        <v>Sat</v>
      </c>
    </row>
    <row r="589" spans="1:8" x14ac:dyDescent="0.25">
      <c r="A589" s="13"/>
      <c r="B589" s="14"/>
      <c r="C589" s="39"/>
      <c r="D589" s="39"/>
      <c r="E589" s="36" t="str">
        <f>IF(SUM(C589:D589)=0," ",SUM(C589:D589))</f>
        <v xml:space="preserve"> </v>
      </c>
      <c r="F589" s="14"/>
      <c r="G589" s="120" t="e">
        <f>VLOOKUP($B589,Information!$C$8:$F$15,4,FALSE)</f>
        <v>#N/A</v>
      </c>
      <c r="H589" s="210" t="str">
        <f>TEXT(A589,"ddd")</f>
        <v>Sat</v>
      </c>
    </row>
    <row r="590" spans="1:8" x14ac:dyDescent="0.25">
      <c r="A590" s="13"/>
      <c r="B590" s="14"/>
      <c r="C590" s="39"/>
      <c r="D590" s="39"/>
      <c r="E590" s="36" t="str">
        <f>IF(SUM(C590:D590)=0," ",SUM(C590:D590))</f>
        <v xml:space="preserve"> </v>
      </c>
      <c r="F590" s="14"/>
      <c r="G590" s="120" t="e">
        <f>VLOOKUP($B590,Information!$C$8:$F$15,4,FALSE)</f>
        <v>#N/A</v>
      </c>
      <c r="H590" s="210" t="str">
        <f>TEXT(A590,"ddd")</f>
        <v>Sat</v>
      </c>
    </row>
    <row r="591" spans="1:8" x14ac:dyDescent="0.25">
      <c r="A591" s="13"/>
      <c r="B591" s="14"/>
      <c r="C591" s="39"/>
      <c r="D591" s="39"/>
      <c r="E591" s="36" t="str">
        <f>IF(SUM(C591:D591)=0," ",SUM(C591:D591))</f>
        <v xml:space="preserve"> </v>
      </c>
      <c r="F591" s="14"/>
      <c r="G591" s="120" t="e">
        <f>VLOOKUP($B591,Information!$C$8:$F$15,4,FALSE)</f>
        <v>#N/A</v>
      </c>
      <c r="H591" s="210" t="str">
        <f>TEXT(A591,"ddd")</f>
        <v>Sat</v>
      </c>
    </row>
    <row r="592" spans="1:8" x14ac:dyDescent="0.25">
      <c r="A592" s="13"/>
      <c r="B592" s="14"/>
      <c r="C592" s="39"/>
      <c r="D592" s="39"/>
      <c r="E592" s="36" t="str">
        <f>IF(SUM(C592:D592)=0," ",SUM(C592:D592))</f>
        <v xml:space="preserve"> </v>
      </c>
      <c r="F592" s="14"/>
      <c r="G592" s="120" t="e">
        <f>VLOOKUP($B592,Information!$C$8:$F$15,4,FALSE)</f>
        <v>#N/A</v>
      </c>
      <c r="H592" s="210" t="str">
        <f>TEXT(A592,"ddd")</f>
        <v>Sat</v>
      </c>
    </row>
    <row r="593" spans="1:8" x14ac:dyDescent="0.25">
      <c r="A593" s="13"/>
      <c r="B593" s="14"/>
      <c r="C593" s="39"/>
      <c r="D593" s="39"/>
      <c r="E593" s="36" t="str">
        <f>IF(SUM(C593:D593)=0," ",SUM(C593:D593))</f>
        <v xml:space="preserve"> </v>
      </c>
      <c r="F593" s="14"/>
      <c r="G593" s="120" t="e">
        <f>VLOOKUP($B593,Information!$C$8:$F$15,4,FALSE)</f>
        <v>#N/A</v>
      </c>
      <c r="H593" s="210" t="str">
        <f>TEXT(A593,"ddd")</f>
        <v>Sat</v>
      </c>
    </row>
    <row r="594" spans="1:8" x14ac:dyDescent="0.25">
      <c r="A594" s="13"/>
      <c r="B594" s="14"/>
      <c r="C594" s="39"/>
      <c r="D594" s="39"/>
      <c r="E594" s="36" t="str">
        <f>IF(SUM(C594:D594)=0," ",SUM(C594:D594))</f>
        <v xml:space="preserve"> </v>
      </c>
      <c r="F594" s="14"/>
      <c r="G594" s="120" t="e">
        <f>VLOOKUP($B594,Information!$C$8:$F$15,4,FALSE)</f>
        <v>#N/A</v>
      </c>
      <c r="H594" s="210" t="str">
        <f>TEXT(A594,"ddd")</f>
        <v>Sat</v>
      </c>
    </row>
    <row r="595" spans="1:8" x14ac:dyDescent="0.25">
      <c r="A595" s="13"/>
      <c r="B595" s="14"/>
      <c r="C595" s="39"/>
      <c r="D595" s="39"/>
      <c r="E595" s="36" t="str">
        <f>IF(SUM(C595:D595)=0," ",SUM(C595:D595))</f>
        <v xml:space="preserve"> </v>
      </c>
      <c r="F595" s="14"/>
      <c r="G595" s="120" t="e">
        <f>VLOOKUP($B595,Information!$C$8:$F$15,4,FALSE)</f>
        <v>#N/A</v>
      </c>
      <c r="H595" s="210" t="str">
        <f>TEXT(A595,"ddd")</f>
        <v>Sat</v>
      </c>
    </row>
    <row r="596" spans="1:8" x14ac:dyDescent="0.25">
      <c r="A596" s="13"/>
      <c r="B596" s="14"/>
      <c r="C596" s="39"/>
      <c r="D596" s="39"/>
      <c r="E596" s="36" t="str">
        <f>IF(SUM(C596:D596)=0," ",SUM(C596:D596))</f>
        <v xml:space="preserve"> </v>
      </c>
      <c r="F596" s="14"/>
      <c r="G596" s="120" t="e">
        <f>VLOOKUP($B596,Information!$C$8:$F$15,4,FALSE)</f>
        <v>#N/A</v>
      </c>
      <c r="H596" s="210" t="str">
        <f>TEXT(A596,"ddd")</f>
        <v>Sat</v>
      </c>
    </row>
    <row r="597" spans="1:8" x14ac:dyDescent="0.25">
      <c r="A597" s="13"/>
      <c r="B597" s="14"/>
      <c r="C597" s="39"/>
      <c r="D597" s="39"/>
      <c r="E597" s="36" t="str">
        <f>IF(SUM(C597:D597)=0," ",SUM(C597:D597))</f>
        <v xml:space="preserve"> </v>
      </c>
      <c r="F597" s="14"/>
      <c r="G597" s="120" t="e">
        <f>VLOOKUP($B597,Information!$C$8:$F$15,4,FALSE)</f>
        <v>#N/A</v>
      </c>
      <c r="H597" s="210" t="str">
        <f>TEXT(A597,"ddd")</f>
        <v>Sat</v>
      </c>
    </row>
    <row r="598" spans="1:8" x14ac:dyDescent="0.25">
      <c r="A598" s="13"/>
      <c r="B598" s="14"/>
      <c r="C598" s="39"/>
      <c r="D598" s="39"/>
      <c r="E598" s="36" t="str">
        <f>IF(SUM(C598:D598)=0," ",SUM(C598:D598))</f>
        <v xml:space="preserve"> </v>
      </c>
      <c r="F598" s="14"/>
      <c r="G598" s="120" t="e">
        <f>VLOOKUP($B598,Information!$C$8:$F$15,4,FALSE)</f>
        <v>#N/A</v>
      </c>
      <c r="H598" s="210" t="str">
        <f>TEXT(A598,"ddd")</f>
        <v>Sat</v>
      </c>
    </row>
    <row r="599" spans="1:8" x14ac:dyDescent="0.25">
      <c r="A599" s="13"/>
      <c r="B599" s="14"/>
      <c r="C599" s="39"/>
      <c r="D599" s="39"/>
      <c r="E599" s="36" t="str">
        <f>IF(SUM(C599:D599)=0," ",SUM(C599:D599))</f>
        <v xml:space="preserve"> </v>
      </c>
      <c r="F599" s="14"/>
      <c r="G599" s="120" t="e">
        <f>VLOOKUP($B599,Information!$C$8:$F$15,4,FALSE)</f>
        <v>#N/A</v>
      </c>
      <c r="H599" s="210" t="str">
        <f>TEXT(A599,"ddd")</f>
        <v>Sat</v>
      </c>
    </row>
    <row r="600" spans="1:8" x14ac:dyDescent="0.25">
      <c r="A600" s="13"/>
      <c r="B600" s="14"/>
      <c r="C600" s="39"/>
      <c r="D600" s="39"/>
      <c r="E600" s="36" t="str">
        <f>IF(SUM(C600:D600)=0," ",SUM(C600:D600))</f>
        <v xml:space="preserve"> </v>
      </c>
      <c r="F600" s="14"/>
      <c r="G600" s="120" t="e">
        <f>VLOOKUP($B600,Information!$C$8:$F$15,4,FALSE)</f>
        <v>#N/A</v>
      </c>
      <c r="H600" s="210" t="str">
        <f>TEXT(A600,"ddd")</f>
        <v>Sat</v>
      </c>
    </row>
    <row r="601" spans="1:8" ht="14.4" customHeight="1" x14ac:dyDescent="0.25">
      <c r="A601" s="13"/>
      <c r="B601" s="14"/>
      <c r="C601" s="39"/>
      <c r="D601" s="39"/>
      <c r="E601" s="36" t="str">
        <f>IF(SUM(C601:D601)=0," ",SUM(C601:D601))</f>
        <v xml:space="preserve"> </v>
      </c>
      <c r="F601" s="14"/>
      <c r="G601" s="120" t="e">
        <f>VLOOKUP($B601,Information!$C$8:$F$15,4,FALSE)</f>
        <v>#N/A</v>
      </c>
      <c r="H601" s="210" t="str">
        <f>TEXT(A601,"ddd")</f>
        <v>Sat</v>
      </c>
    </row>
    <row r="602" spans="1:8" ht="14.4" customHeight="1" x14ac:dyDescent="0.25">
      <c r="A602" s="13"/>
      <c r="B602" s="14"/>
      <c r="C602" s="39"/>
      <c r="D602" s="39"/>
      <c r="E602" s="36" t="str">
        <f>IF(SUM(C602:D602)=0," ",SUM(C602:D602))</f>
        <v xml:space="preserve"> </v>
      </c>
      <c r="F602" s="14"/>
      <c r="G602" s="120" t="e">
        <f>VLOOKUP($B602,Information!$C$8:$F$15,4,FALSE)</f>
        <v>#N/A</v>
      </c>
      <c r="H602" s="210" t="str">
        <f>TEXT(A602,"ddd")</f>
        <v>Sat</v>
      </c>
    </row>
    <row r="603" spans="1:8" x14ac:dyDescent="0.25">
      <c r="A603" s="13"/>
      <c r="B603" s="14"/>
      <c r="C603" s="39"/>
      <c r="D603" s="39"/>
      <c r="E603" s="36" t="str">
        <f>IF(SUM(C603:D603)=0," ",SUM(C603:D603))</f>
        <v xml:space="preserve"> </v>
      </c>
      <c r="F603" s="14"/>
      <c r="G603" s="120" t="e">
        <f>VLOOKUP($B603,Information!$C$8:$F$15,4,FALSE)</f>
        <v>#N/A</v>
      </c>
      <c r="H603" s="210" t="str">
        <f>TEXT(A603,"ddd")</f>
        <v>Sat</v>
      </c>
    </row>
    <row r="604" spans="1:8" ht="14.4" customHeight="1" x14ac:dyDescent="0.25">
      <c r="A604" s="13"/>
      <c r="B604" s="14"/>
      <c r="C604" s="39"/>
      <c r="D604" s="39"/>
      <c r="E604" s="36" t="str">
        <f>IF(SUM(C604:D604)=0," ",SUM(C604:D604))</f>
        <v xml:space="preserve"> </v>
      </c>
      <c r="F604" s="14"/>
      <c r="G604" s="120" t="e">
        <f>VLOOKUP($B604,Information!$C$8:$F$15,4,FALSE)</f>
        <v>#N/A</v>
      </c>
      <c r="H604" s="210" t="str">
        <f>TEXT(A604,"ddd")</f>
        <v>Sat</v>
      </c>
    </row>
    <row r="605" spans="1:8" x14ac:dyDescent="0.25">
      <c r="A605" s="13"/>
      <c r="B605" s="14"/>
      <c r="C605" s="39"/>
      <c r="D605" s="39"/>
      <c r="E605" s="36" t="str">
        <f>IF(SUM(C605:D605)=0," ",SUM(C605:D605))</f>
        <v xml:space="preserve"> </v>
      </c>
      <c r="F605" s="14"/>
      <c r="G605" s="120" t="e">
        <f>VLOOKUP($B605,Information!$C$8:$F$15,4,FALSE)</f>
        <v>#N/A</v>
      </c>
      <c r="H605" s="210" t="str">
        <f>TEXT(A605,"ddd")</f>
        <v>Sat</v>
      </c>
    </row>
    <row r="606" spans="1:8" x14ac:dyDescent="0.25">
      <c r="A606" s="13"/>
      <c r="B606" s="14"/>
      <c r="C606" s="39"/>
      <c r="D606" s="39"/>
      <c r="E606" s="36" t="str">
        <f>IF(SUM(C606:D606)=0," ",SUM(C606:D606))</f>
        <v xml:space="preserve"> </v>
      </c>
      <c r="F606" s="14"/>
      <c r="G606" s="120" t="e">
        <f>VLOOKUP($B606,Information!$C$8:$F$15,4,FALSE)</f>
        <v>#N/A</v>
      </c>
      <c r="H606" s="210" t="str">
        <f>TEXT(A606,"ddd")</f>
        <v>Sat</v>
      </c>
    </row>
    <row r="607" spans="1:8" x14ac:dyDescent="0.25">
      <c r="A607" s="13"/>
      <c r="B607" s="14"/>
      <c r="C607" s="39"/>
      <c r="D607" s="39"/>
      <c r="E607" s="36" t="str">
        <f>IF(SUM(C607:D607)=0," ",SUM(C607:D607))</f>
        <v xml:space="preserve"> </v>
      </c>
      <c r="F607" s="14"/>
      <c r="G607" s="120" t="e">
        <f>VLOOKUP($B607,Information!$C$8:$F$15,4,FALSE)</f>
        <v>#N/A</v>
      </c>
      <c r="H607" s="210" t="str">
        <f>TEXT(A607,"ddd")</f>
        <v>Sat</v>
      </c>
    </row>
    <row r="608" spans="1:8" x14ac:dyDescent="0.25">
      <c r="A608" s="13"/>
      <c r="B608" s="14"/>
      <c r="C608" s="39"/>
      <c r="D608" s="39"/>
      <c r="E608" s="36" t="str">
        <f>IF(SUM(C608:D608)=0," ",SUM(C608:D608))</f>
        <v xml:space="preserve"> </v>
      </c>
      <c r="F608" s="14"/>
      <c r="G608" s="120" t="e">
        <f>VLOOKUP($B608,Information!$C$8:$F$15,4,FALSE)</f>
        <v>#N/A</v>
      </c>
      <c r="H608" s="210" t="str">
        <f>TEXT(A608,"ddd")</f>
        <v>Sat</v>
      </c>
    </row>
    <row r="609" spans="1:8" x14ac:dyDescent="0.25">
      <c r="A609" s="13"/>
      <c r="B609" s="14"/>
      <c r="C609" s="39"/>
      <c r="D609" s="39"/>
      <c r="E609" s="36" t="str">
        <f>IF(SUM(C609:D609)=0," ",SUM(C609:D609))</f>
        <v xml:space="preserve"> </v>
      </c>
      <c r="F609" s="14"/>
      <c r="G609" s="120" t="e">
        <f>VLOOKUP($B609,Information!$C$8:$F$15,4,FALSE)</f>
        <v>#N/A</v>
      </c>
      <c r="H609" s="210" t="str">
        <f>TEXT(A609,"ddd")</f>
        <v>Sat</v>
      </c>
    </row>
    <row r="610" spans="1:8" x14ac:dyDescent="0.25">
      <c r="A610" s="13"/>
      <c r="B610" s="14"/>
      <c r="C610" s="39"/>
      <c r="D610" s="39"/>
      <c r="E610" s="36" t="str">
        <f>IF(SUM(C610:D610)=0," ",SUM(C610:D610))</f>
        <v xml:space="preserve"> </v>
      </c>
      <c r="F610" s="14"/>
      <c r="G610" s="120" t="e">
        <f>VLOOKUP($B610,Information!$C$8:$F$15,4,FALSE)</f>
        <v>#N/A</v>
      </c>
      <c r="H610" s="210" t="str">
        <f>TEXT(A610,"ddd")</f>
        <v>Sat</v>
      </c>
    </row>
    <row r="611" spans="1:8" ht="14.4" customHeight="1" x14ac:dyDescent="0.25">
      <c r="A611" s="13"/>
      <c r="B611" s="14"/>
      <c r="C611" s="39"/>
      <c r="D611" s="39"/>
      <c r="E611" s="36" t="str">
        <f>IF(SUM(C611:D611)=0," ",SUM(C611:D611))</f>
        <v xml:space="preserve"> </v>
      </c>
      <c r="F611" s="14"/>
      <c r="G611" s="120" t="e">
        <f>VLOOKUP($B611,Information!$C$8:$F$15,4,FALSE)</f>
        <v>#N/A</v>
      </c>
      <c r="H611" s="210" t="str">
        <f>TEXT(A611,"ddd")</f>
        <v>Sat</v>
      </c>
    </row>
    <row r="612" spans="1:8" x14ac:dyDescent="0.25">
      <c r="A612" s="13"/>
      <c r="B612" s="14"/>
      <c r="C612" s="39"/>
      <c r="D612" s="39"/>
      <c r="E612" s="36" t="str">
        <f>IF(SUM(C612:D612)=0," ",SUM(C612:D612))</f>
        <v xml:space="preserve"> </v>
      </c>
      <c r="F612" s="14"/>
      <c r="G612" s="120" t="e">
        <f>VLOOKUP($B612,Information!$C$8:$F$15,4,FALSE)</f>
        <v>#N/A</v>
      </c>
      <c r="H612" s="210" t="str">
        <f>TEXT(A612,"ddd")</f>
        <v>Sat</v>
      </c>
    </row>
    <row r="613" spans="1:8" ht="14.4" customHeight="1" x14ac:dyDescent="0.25">
      <c r="A613" s="13"/>
      <c r="B613" s="14"/>
      <c r="C613" s="39"/>
      <c r="D613" s="39"/>
      <c r="E613" s="36" t="str">
        <f>IF(SUM(C613:D613)=0," ",SUM(C613:D613))</f>
        <v xml:space="preserve"> </v>
      </c>
      <c r="F613" s="14"/>
      <c r="G613" s="120" t="e">
        <f>VLOOKUP($B613,Information!$C$8:$F$15,4,FALSE)</f>
        <v>#N/A</v>
      </c>
      <c r="H613" s="210" t="str">
        <f>TEXT(A613,"ddd")</f>
        <v>Sat</v>
      </c>
    </row>
    <row r="614" spans="1:8" x14ac:dyDescent="0.25">
      <c r="A614" s="13"/>
      <c r="B614" s="14"/>
      <c r="C614" s="39"/>
      <c r="D614" s="39"/>
      <c r="E614" s="36" t="str">
        <f>IF(SUM(C614:D614)=0," ",SUM(C614:D614))</f>
        <v xml:space="preserve"> </v>
      </c>
      <c r="F614" s="14"/>
      <c r="G614" s="120" t="e">
        <f>VLOOKUP($B614,Information!$C$8:$F$15,4,FALSE)</f>
        <v>#N/A</v>
      </c>
      <c r="H614" s="210" t="str">
        <f>TEXT(A614,"ddd")</f>
        <v>Sat</v>
      </c>
    </row>
    <row r="615" spans="1:8" x14ac:dyDescent="0.25">
      <c r="A615" s="13"/>
      <c r="B615" s="14"/>
      <c r="C615" s="39"/>
      <c r="D615" s="39"/>
      <c r="E615" s="36" t="str">
        <f>IF(SUM(C615:D615)=0," ",SUM(C615:D615))</f>
        <v xml:space="preserve"> </v>
      </c>
      <c r="F615" s="14"/>
      <c r="G615" s="120" t="e">
        <f>VLOOKUP($B615,Information!$C$8:$F$15,4,FALSE)</f>
        <v>#N/A</v>
      </c>
      <c r="H615" s="210" t="str">
        <f>TEXT(A615,"ddd")</f>
        <v>Sat</v>
      </c>
    </row>
    <row r="616" spans="1:8" x14ac:dyDescent="0.25">
      <c r="A616" s="13"/>
      <c r="B616" s="14"/>
      <c r="C616" s="39"/>
      <c r="D616" s="39"/>
      <c r="E616" s="36" t="str">
        <f>IF(SUM(C616:D616)=0," ",SUM(C616:D616))</f>
        <v xml:space="preserve"> </v>
      </c>
      <c r="F616" s="14"/>
      <c r="G616" s="120" t="e">
        <f>VLOOKUP($B616,Information!$C$8:$F$15,4,FALSE)</f>
        <v>#N/A</v>
      </c>
      <c r="H616" s="210" t="str">
        <f>TEXT(A616,"ddd")</f>
        <v>Sat</v>
      </c>
    </row>
    <row r="617" spans="1:8" x14ac:dyDescent="0.25">
      <c r="A617" s="13"/>
      <c r="B617" s="14"/>
      <c r="C617" s="39"/>
      <c r="D617" s="39"/>
      <c r="E617" s="36" t="str">
        <f>IF(SUM(C617:D617)=0," ",SUM(C617:D617))</f>
        <v xml:space="preserve"> </v>
      </c>
      <c r="F617" s="14"/>
      <c r="G617" s="120" t="e">
        <f>VLOOKUP($B617,Information!$C$8:$F$15,4,FALSE)</f>
        <v>#N/A</v>
      </c>
      <c r="H617" s="210" t="str">
        <f>TEXT(A617,"ddd")</f>
        <v>Sat</v>
      </c>
    </row>
    <row r="618" spans="1:8" x14ac:dyDescent="0.25">
      <c r="A618" s="13"/>
      <c r="B618" s="14"/>
      <c r="C618" s="39"/>
      <c r="D618" s="39"/>
      <c r="E618" s="36" t="str">
        <f>IF(SUM(C618:D618)=0," ",SUM(C618:D618))</f>
        <v xml:space="preserve"> </v>
      </c>
      <c r="F618" s="14"/>
      <c r="G618" s="120" t="e">
        <f>VLOOKUP($B618,Information!$C$8:$F$15,4,FALSE)</f>
        <v>#N/A</v>
      </c>
      <c r="H618" s="210" t="str">
        <f>TEXT(A618,"ddd")</f>
        <v>Sat</v>
      </c>
    </row>
    <row r="619" spans="1:8" x14ac:dyDescent="0.25">
      <c r="A619" s="13"/>
      <c r="B619" s="14"/>
      <c r="C619" s="39"/>
      <c r="D619" s="39"/>
      <c r="E619" s="36" t="str">
        <f>IF(SUM(C619:D619)=0," ",SUM(C619:D619))</f>
        <v xml:space="preserve"> </v>
      </c>
      <c r="F619" s="14"/>
      <c r="G619" s="120" t="e">
        <f>VLOOKUP($B619,Information!$C$8:$F$15,4,FALSE)</f>
        <v>#N/A</v>
      </c>
      <c r="H619" s="210" t="str">
        <f>TEXT(A619,"ddd")</f>
        <v>Sat</v>
      </c>
    </row>
    <row r="620" spans="1:8" x14ac:dyDescent="0.25">
      <c r="A620" s="13"/>
      <c r="B620" s="14"/>
      <c r="C620" s="39"/>
      <c r="D620" s="39"/>
      <c r="E620" s="36" t="str">
        <f>IF(SUM(C620:D620)=0," ",SUM(C620:D620))</f>
        <v xml:space="preserve"> </v>
      </c>
      <c r="F620" s="14"/>
      <c r="G620" s="120" t="e">
        <f>VLOOKUP($B620,Information!$C$8:$F$15,4,FALSE)</f>
        <v>#N/A</v>
      </c>
      <c r="H620" s="210" t="str">
        <f>TEXT(A620,"ddd")</f>
        <v>Sat</v>
      </c>
    </row>
    <row r="621" spans="1:8" x14ac:dyDescent="0.25">
      <c r="A621" s="13"/>
      <c r="B621" s="14"/>
      <c r="C621" s="43"/>
      <c r="D621" s="39"/>
      <c r="E621" s="36" t="str">
        <f>IF(SUM(C621:D621)=0," ",SUM(C621:D621))</f>
        <v xml:space="preserve"> </v>
      </c>
      <c r="F621" s="14"/>
      <c r="G621" s="120" t="e">
        <f>VLOOKUP($B621,Information!$C$8:$F$15,4,FALSE)</f>
        <v>#N/A</v>
      </c>
      <c r="H621" s="210" t="str">
        <f>TEXT(A621,"ddd")</f>
        <v>Sat</v>
      </c>
    </row>
    <row r="622" spans="1:8" x14ac:dyDescent="0.25">
      <c r="A622" s="13"/>
      <c r="B622" s="14"/>
      <c r="C622" s="39"/>
      <c r="D622" s="39"/>
      <c r="E622" s="36" t="str">
        <f>IF(SUM(C622:D622)=0," ",SUM(C622:D622))</f>
        <v xml:space="preserve"> </v>
      </c>
      <c r="F622" s="14"/>
      <c r="G622" s="120" t="e">
        <f>VLOOKUP($B622,Information!$C$8:$F$15,4,FALSE)</f>
        <v>#N/A</v>
      </c>
      <c r="H622" s="210" t="str">
        <f>TEXT(A622,"ddd")</f>
        <v>Sat</v>
      </c>
    </row>
    <row r="623" spans="1:8" x14ac:dyDescent="0.25">
      <c r="A623" s="13"/>
      <c r="B623" s="14"/>
      <c r="C623" s="39"/>
      <c r="D623" s="39"/>
      <c r="E623" s="36" t="str">
        <f>IF(SUM(C623:D623)=0," ",SUM(C623:D623))</f>
        <v xml:space="preserve"> </v>
      </c>
      <c r="F623" s="14"/>
      <c r="G623" s="120" t="e">
        <f>VLOOKUP($B623,Information!$C$8:$F$15,4,FALSE)</f>
        <v>#N/A</v>
      </c>
      <c r="H623" s="210" t="str">
        <f>TEXT(A623,"ddd")</f>
        <v>Sat</v>
      </c>
    </row>
    <row r="624" spans="1:8" x14ac:dyDescent="0.25">
      <c r="A624" s="13"/>
      <c r="B624" s="14"/>
      <c r="C624" s="39"/>
      <c r="D624" s="39"/>
      <c r="E624" s="36" t="str">
        <f>IF(SUM(C624:D624)=0," ",SUM(C624:D624))</f>
        <v xml:space="preserve"> </v>
      </c>
      <c r="F624" s="14"/>
      <c r="G624" s="120" t="e">
        <f>VLOOKUP($B624,Information!$C$8:$F$15,4,FALSE)</f>
        <v>#N/A</v>
      </c>
      <c r="H624" s="210" t="str">
        <f>TEXT(A624,"ddd")</f>
        <v>Sat</v>
      </c>
    </row>
    <row r="625" spans="1:8" ht="14.4" customHeight="1" x14ac:dyDescent="0.25">
      <c r="A625" s="13"/>
      <c r="B625" s="14"/>
      <c r="C625" s="39"/>
      <c r="D625" s="39"/>
      <c r="E625" s="36" t="str">
        <f>IF(SUM(C625:D625)=0," ",SUM(C625:D625))</f>
        <v xml:space="preserve"> </v>
      </c>
      <c r="F625" s="14"/>
      <c r="G625" s="120" t="e">
        <f>VLOOKUP($B625,Information!$C$8:$F$15,4,FALSE)</f>
        <v>#N/A</v>
      </c>
      <c r="H625" s="210" t="str">
        <f>TEXT(A625,"ddd")</f>
        <v>Sat</v>
      </c>
    </row>
    <row r="626" spans="1:8" x14ac:dyDescent="0.25">
      <c r="A626" s="13"/>
      <c r="B626" s="14"/>
      <c r="C626" s="39"/>
      <c r="D626" s="39"/>
      <c r="E626" s="36" t="str">
        <f>IF(SUM(C626:D626)=0," ",SUM(C626:D626))</f>
        <v xml:space="preserve"> </v>
      </c>
      <c r="F626" s="14"/>
      <c r="G626" s="120" t="e">
        <f>VLOOKUP($B626,Information!$C$8:$F$15,4,FALSE)</f>
        <v>#N/A</v>
      </c>
      <c r="H626" s="210" t="str">
        <f>TEXT(A626,"ddd")</f>
        <v>Sat</v>
      </c>
    </row>
    <row r="627" spans="1:8" x14ac:dyDescent="0.25">
      <c r="A627" s="13"/>
      <c r="B627" s="14"/>
      <c r="C627" s="39"/>
      <c r="D627" s="39"/>
      <c r="E627" s="36" t="str">
        <f>IF(SUM(C627:D627)=0," ",SUM(C627:D627))</f>
        <v xml:space="preserve"> </v>
      </c>
      <c r="F627" s="14"/>
      <c r="G627" s="120" t="e">
        <f>VLOOKUP($B627,Information!$C$8:$F$15,4,FALSE)</f>
        <v>#N/A</v>
      </c>
      <c r="H627" s="210" t="str">
        <f>TEXT(A627,"ddd")</f>
        <v>Sat</v>
      </c>
    </row>
    <row r="628" spans="1:8" ht="14.4" customHeight="1" x14ac:dyDescent="0.25">
      <c r="A628" s="15"/>
      <c r="B628" s="14"/>
      <c r="C628" s="37"/>
      <c r="D628" s="37"/>
      <c r="E628" s="36" t="str">
        <f>IF(SUM(C628:D628)=0," ",SUM(C628:D628))</f>
        <v xml:space="preserve"> </v>
      </c>
      <c r="F628" s="17"/>
      <c r="G628" s="120" t="e">
        <f>VLOOKUP($B628,Information!$C$8:$F$15,4,FALSE)</f>
        <v>#N/A</v>
      </c>
      <c r="H628" s="210" t="str">
        <f>TEXT(A628,"ddd")</f>
        <v>Sat</v>
      </c>
    </row>
    <row r="629" spans="1:8" ht="13.8" customHeight="1" x14ac:dyDescent="0.25">
      <c r="A629" s="13"/>
      <c r="B629" s="14"/>
      <c r="C629" s="39"/>
      <c r="D629" s="39"/>
      <c r="E629" s="36" t="str">
        <f>IF(SUM(C629:D629)=0," ",SUM(C629:D629))</f>
        <v xml:space="preserve"> </v>
      </c>
      <c r="F629" s="14"/>
      <c r="G629" s="120" t="e">
        <f>VLOOKUP($B629,Information!$C$8:$F$15,4,FALSE)</f>
        <v>#N/A</v>
      </c>
      <c r="H629" s="210" t="str">
        <f>TEXT(A629,"ddd")</f>
        <v>Sat</v>
      </c>
    </row>
    <row r="630" spans="1:8" x14ac:dyDescent="0.25">
      <c r="A630" s="13"/>
      <c r="B630" s="14"/>
      <c r="C630" s="39"/>
      <c r="D630" s="39"/>
      <c r="E630" s="36" t="str">
        <f>IF(SUM(C630:D630)=0," ",SUM(C630:D630))</f>
        <v xml:space="preserve"> </v>
      </c>
      <c r="F630" s="14"/>
      <c r="G630" s="120" t="e">
        <f>VLOOKUP($B630,Information!$C$8:$F$15,4,FALSE)</f>
        <v>#N/A</v>
      </c>
      <c r="H630" s="210" t="str">
        <f>TEXT(A630,"ddd")</f>
        <v>Sat</v>
      </c>
    </row>
    <row r="631" spans="1:8" x14ac:dyDescent="0.25">
      <c r="A631" s="13"/>
      <c r="B631" s="14"/>
      <c r="C631" s="39"/>
      <c r="D631" s="39"/>
      <c r="E631" s="36" t="str">
        <f>IF(SUM(C631:D631)=0," ",SUM(C631:D631))</f>
        <v xml:space="preserve"> </v>
      </c>
      <c r="F631" s="14"/>
      <c r="G631" s="120" t="e">
        <f>VLOOKUP($B631,Information!$C$8:$F$15,4,FALSE)</f>
        <v>#N/A</v>
      </c>
      <c r="H631" s="210" t="str">
        <f>TEXT(A631,"ddd")</f>
        <v>Sat</v>
      </c>
    </row>
    <row r="632" spans="1:8" x14ac:dyDescent="0.25">
      <c r="A632" s="13"/>
      <c r="B632" s="14"/>
      <c r="C632" s="39"/>
      <c r="D632" s="39"/>
      <c r="E632" s="36" t="str">
        <f>IF(SUM(C632:D632)=0," ",SUM(C632:D632))</f>
        <v xml:space="preserve"> </v>
      </c>
      <c r="F632" s="14"/>
      <c r="G632" s="120" t="e">
        <f>VLOOKUP($B632,Information!$C$8:$F$15,4,FALSE)</f>
        <v>#N/A</v>
      </c>
      <c r="H632" s="210" t="str">
        <f>TEXT(A632,"ddd")</f>
        <v>Sat</v>
      </c>
    </row>
    <row r="633" spans="1:8" x14ac:dyDescent="0.25">
      <c r="A633" s="13"/>
      <c r="B633" s="14"/>
      <c r="C633" s="39"/>
      <c r="D633" s="39"/>
      <c r="E633" s="36" t="str">
        <f>IF(SUM(C633:D633)=0," ",SUM(C633:D633))</f>
        <v xml:space="preserve"> </v>
      </c>
      <c r="F633" s="14"/>
      <c r="G633" s="120" t="e">
        <f>VLOOKUP($B633,Information!$C$8:$F$15,4,FALSE)</f>
        <v>#N/A</v>
      </c>
      <c r="H633" s="210" t="str">
        <f>TEXT(A633,"ddd")</f>
        <v>Sat</v>
      </c>
    </row>
    <row r="634" spans="1:8" x14ac:dyDescent="0.25">
      <c r="A634" s="13"/>
      <c r="B634" s="14"/>
      <c r="C634" s="43"/>
      <c r="D634" s="39"/>
      <c r="E634" s="36" t="str">
        <f>IF(SUM(C634:D634)=0," ",SUM(C634:D634))</f>
        <v xml:space="preserve"> </v>
      </c>
      <c r="F634" s="14"/>
      <c r="G634" s="120" t="e">
        <f>VLOOKUP($B634,Information!$C$8:$F$15,4,FALSE)</f>
        <v>#N/A</v>
      </c>
      <c r="H634" s="210" t="str">
        <f>TEXT(A634,"ddd")</f>
        <v>Sat</v>
      </c>
    </row>
    <row r="635" spans="1:8" x14ac:dyDescent="0.25">
      <c r="A635" s="13"/>
      <c r="B635" s="14"/>
      <c r="C635" s="39"/>
      <c r="D635" s="39"/>
      <c r="E635" s="36" t="str">
        <f>IF(SUM(C635:D635)=0," ",SUM(C635:D635))</f>
        <v xml:space="preserve"> </v>
      </c>
      <c r="F635" s="14"/>
      <c r="G635" s="120" t="e">
        <f>VLOOKUP($B635,Information!$C$8:$F$15,4,FALSE)</f>
        <v>#N/A</v>
      </c>
      <c r="H635" s="210" t="str">
        <f>TEXT(A635,"ddd")</f>
        <v>Sat</v>
      </c>
    </row>
    <row r="636" spans="1:8" x14ac:dyDescent="0.25">
      <c r="A636" s="13"/>
      <c r="B636" s="14"/>
      <c r="C636" s="39"/>
      <c r="D636" s="39"/>
      <c r="E636" s="36" t="str">
        <f>IF(SUM(C636:D636)=0," ",SUM(C636:D636))</f>
        <v xml:space="preserve"> </v>
      </c>
      <c r="F636" s="14"/>
      <c r="G636" s="120" t="e">
        <f>VLOOKUP($B636,Information!$C$8:$F$15,4,FALSE)</f>
        <v>#N/A</v>
      </c>
      <c r="H636" s="210" t="str">
        <f>TEXT(A636,"ddd")</f>
        <v>Sat</v>
      </c>
    </row>
    <row r="637" spans="1:8" x14ac:dyDescent="0.25">
      <c r="A637" s="13"/>
      <c r="B637" s="14"/>
      <c r="C637" s="39"/>
      <c r="D637" s="39"/>
      <c r="E637" s="36" t="str">
        <f>IF(SUM(C637:D637)=0," ",SUM(C637:D637))</f>
        <v xml:space="preserve"> </v>
      </c>
      <c r="F637" s="14"/>
      <c r="G637" s="120" t="e">
        <f>VLOOKUP($B637,Information!$C$8:$F$15,4,FALSE)</f>
        <v>#N/A</v>
      </c>
      <c r="H637" s="210" t="str">
        <f>TEXT(A637,"ddd")</f>
        <v>Sat</v>
      </c>
    </row>
    <row r="638" spans="1:8" x14ac:dyDescent="0.25">
      <c r="A638" s="13"/>
      <c r="B638" s="14"/>
      <c r="C638" s="39"/>
      <c r="D638" s="39"/>
      <c r="E638" s="36" t="str">
        <f>IF(SUM(C638:D638)=0," ",SUM(C638:D638))</f>
        <v xml:space="preserve"> </v>
      </c>
      <c r="F638" s="14"/>
      <c r="G638" s="120" t="e">
        <f>VLOOKUP($B638,Information!$C$8:$F$15,4,FALSE)</f>
        <v>#N/A</v>
      </c>
      <c r="H638" s="210" t="str">
        <f>TEXT(A638,"ddd")</f>
        <v>Sat</v>
      </c>
    </row>
    <row r="639" spans="1:8" x14ac:dyDescent="0.25">
      <c r="A639" s="13"/>
      <c r="B639" s="14"/>
      <c r="C639" s="39"/>
      <c r="D639" s="39"/>
      <c r="E639" s="36" t="str">
        <f>IF(SUM(C639:D639)=0," ",SUM(C639:D639))</f>
        <v xml:space="preserve"> </v>
      </c>
      <c r="F639" s="14"/>
      <c r="G639" s="120" t="e">
        <f>VLOOKUP($B639,Information!$C$8:$F$15,4,FALSE)</f>
        <v>#N/A</v>
      </c>
      <c r="H639" s="210" t="str">
        <f>TEXT(A639,"ddd")</f>
        <v>Sat</v>
      </c>
    </row>
    <row r="640" spans="1:8" x14ac:dyDescent="0.25">
      <c r="A640" s="13"/>
      <c r="B640" s="14"/>
      <c r="C640" s="39"/>
      <c r="D640" s="39"/>
      <c r="E640" s="36" t="str">
        <f>IF(SUM(C640:D640)=0," ",SUM(C640:D640))</f>
        <v xml:space="preserve"> </v>
      </c>
      <c r="F640" s="14"/>
      <c r="G640" s="120" t="e">
        <f>VLOOKUP($B640,Information!$C$8:$F$15,4,FALSE)</f>
        <v>#N/A</v>
      </c>
      <c r="H640" s="210" t="str">
        <f>TEXT(A640,"ddd")</f>
        <v>Sat</v>
      </c>
    </row>
    <row r="641" spans="1:8" x14ac:dyDescent="0.25">
      <c r="A641" s="15"/>
      <c r="B641" s="14"/>
      <c r="C641" s="37"/>
      <c r="D641" s="37"/>
      <c r="E641" s="36" t="str">
        <f>IF(SUM(C641:D641)=0," ",SUM(C641:D641))</f>
        <v xml:space="preserve"> </v>
      </c>
      <c r="F641" s="14"/>
      <c r="G641" s="120" t="e">
        <f>VLOOKUP($B641,Information!$C$8:$F$15,4,FALSE)</f>
        <v>#N/A</v>
      </c>
      <c r="H641" s="210" t="str">
        <f>TEXT(A641,"ddd")</f>
        <v>Sat</v>
      </c>
    </row>
    <row r="642" spans="1:8" x14ac:dyDescent="0.25">
      <c r="A642" s="13"/>
      <c r="B642" s="14"/>
      <c r="C642" s="39"/>
      <c r="D642" s="39"/>
      <c r="E642" s="36" t="str">
        <f>IF(SUM(C642:D642)=0," ",SUM(C642:D642))</f>
        <v xml:space="preserve"> </v>
      </c>
      <c r="F642" s="14"/>
      <c r="G642" s="120" t="e">
        <f>VLOOKUP($B642,Information!$C$8:$F$15,4,FALSE)</f>
        <v>#N/A</v>
      </c>
      <c r="H642" s="210" t="str">
        <f>TEXT(A642,"ddd")</f>
        <v>Sat</v>
      </c>
    </row>
    <row r="643" spans="1:8" x14ac:dyDescent="0.25">
      <c r="A643" s="15"/>
      <c r="B643" s="14"/>
      <c r="C643" s="37"/>
      <c r="D643" s="37"/>
      <c r="E643" s="36" t="str">
        <f>IF(SUM(C643:D643)=0," ",SUM(C643:D643))</f>
        <v xml:space="preserve"> </v>
      </c>
      <c r="F643" s="14"/>
      <c r="G643" s="120" t="e">
        <f>VLOOKUP($B643,Information!$C$8:$F$15,4,FALSE)</f>
        <v>#N/A</v>
      </c>
      <c r="H643" s="210" t="str">
        <f>TEXT(A643,"ddd")</f>
        <v>Sat</v>
      </c>
    </row>
    <row r="644" spans="1:8" x14ac:dyDescent="0.25">
      <c r="A644" s="13"/>
      <c r="B644" s="14"/>
      <c r="C644" s="39"/>
      <c r="D644" s="39"/>
      <c r="E644" s="36" t="str">
        <f>IF(SUM(C644:D644)=0," ",SUM(C644:D644))</f>
        <v xml:space="preserve"> </v>
      </c>
      <c r="F644" s="14"/>
      <c r="G644" s="120" t="e">
        <f>VLOOKUP($B644,Information!$C$8:$F$15,4,FALSE)</f>
        <v>#N/A</v>
      </c>
      <c r="H644" s="210" t="str">
        <f>TEXT(A644,"ddd")</f>
        <v>Sat</v>
      </c>
    </row>
    <row r="645" spans="1:8" x14ac:dyDescent="0.25">
      <c r="A645" s="13"/>
      <c r="B645" s="14"/>
      <c r="C645" s="39"/>
      <c r="D645" s="39"/>
      <c r="E645" s="36" t="str">
        <f>IF(SUM(C645:D645)=0," ",SUM(C645:D645))</f>
        <v xml:space="preserve"> </v>
      </c>
      <c r="F645" s="14"/>
      <c r="G645" s="120" t="e">
        <f>VLOOKUP($B645,Information!$C$8:$F$15,4,FALSE)</f>
        <v>#N/A</v>
      </c>
      <c r="H645" s="210" t="str">
        <f>TEXT(A645,"ddd")</f>
        <v>Sat</v>
      </c>
    </row>
    <row r="646" spans="1:8" x14ac:dyDescent="0.25">
      <c r="A646" s="13"/>
      <c r="B646" s="14"/>
      <c r="C646" s="39"/>
      <c r="D646" s="39"/>
      <c r="E646" s="36" t="str">
        <f>IF(SUM(C646:D646)=0," ",SUM(C646:D646))</f>
        <v xml:space="preserve"> </v>
      </c>
      <c r="F646" s="14"/>
      <c r="G646" s="120" t="e">
        <f>VLOOKUP($B646,Information!$C$8:$F$15,4,FALSE)</f>
        <v>#N/A</v>
      </c>
      <c r="H646" s="210" t="str">
        <f>TEXT(A646,"ddd")</f>
        <v>Sat</v>
      </c>
    </row>
    <row r="647" spans="1:8" x14ac:dyDescent="0.25">
      <c r="A647" s="15"/>
      <c r="B647" s="14"/>
      <c r="C647" s="37"/>
      <c r="D647" s="37"/>
      <c r="E647" s="36" t="str">
        <f>IF(SUM(C647:D647)=0," ",SUM(C647:D647))</f>
        <v xml:space="preserve"> </v>
      </c>
      <c r="F647" s="14"/>
      <c r="G647" s="120" t="e">
        <f>VLOOKUP($B647,Information!$C$8:$F$15,4,FALSE)</f>
        <v>#N/A</v>
      </c>
      <c r="H647" s="210" t="str">
        <f>TEXT(A647,"ddd")</f>
        <v>Sat</v>
      </c>
    </row>
    <row r="648" spans="1:8" x14ac:dyDescent="0.25">
      <c r="A648" s="13"/>
      <c r="B648" s="14"/>
      <c r="C648" s="39"/>
      <c r="D648" s="39"/>
      <c r="E648" s="36" t="str">
        <f>IF(SUM(C648:D648)=0," ",SUM(C648:D648))</f>
        <v xml:space="preserve"> </v>
      </c>
      <c r="F648" s="14"/>
      <c r="G648" s="120" t="e">
        <f>VLOOKUP($B648,Information!$C$8:$F$15,4,FALSE)</f>
        <v>#N/A</v>
      </c>
      <c r="H648" s="210" t="str">
        <f>TEXT(A648,"ddd")</f>
        <v>Sat</v>
      </c>
    </row>
    <row r="649" spans="1:8" x14ac:dyDescent="0.25">
      <c r="A649" s="13"/>
      <c r="B649" s="14"/>
      <c r="C649" s="39"/>
      <c r="D649" s="39"/>
      <c r="E649" s="36" t="str">
        <f>IF(SUM(C649:D649)=0," ",SUM(C649:D649))</f>
        <v xml:space="preserve"> </v>
      </c>
      <c r="F649" s="14"/>
      <c r="G649" s="120" t="e">
        <f>VLOOKUP($B649,Information!$C$8:$F$15,4,FALSE)</f>
        <v>#N/A</v>
      </c>
      <c r="H649" s="210" t="str">
        <f>TEXT(A649,"ddd")</f>
        <v>Sat</v>
      </c>
    </row>
    <row r="650" spans="1:8" x14ac:dyDescent="0.25">
      <c r="A650" s="13"/>
      <c r="B650" s="14"/>
      <c r="C650" s="39"/>
      <c r="D650" s="39"/>
      <c r="E650" s="36" t="str">
        <f>IF(SUM(C650:D650)=0," ",SUM(C650:D650))</f>
        <v xml:space="preserve"> </v>
      </c>
      <c r="F650" s="14"/>
      <c r="G650" s="120" t="e">
        <f>VLOOKUP($B650,Information!$C$8:$F$15,4,FALSE)</f>
        <v>#N/A</v>
      </c>
      <c r="H650" s="210" t="str">
        <f>TEXT(A650,"ddd")</f>
        <v>Sat</v>
      </c>
    </row>
    <row r="651" spans="1:8" x14ac:dyDescent="0.25">
      <c r="A651" s="13"/>
      <c r="B651" s="14"/>
      <c r="C651" s="39"/>
      <c r="D651" s="39"/>
      <c r="E651" s="36" t="str">
        <f>IF(SUM(C651:D651)=0," ",SUM(C651:D651))</f>
        <v xml:space="preserve"> </v>
      </c>
      <c r="F651" s="14"/>
      <c r="G651" s="120" t="e">
        <f>VLOOKUP($B651,Information!$C$8:$F$15,4,FALSE)</f>
        <v>#N/A</v>
      </c>
      <c r="H651" s="210" t="str">
        <f>TEXT(A651,"ddd")</f>
        <v>Sat</v>
      </c>
    </row>
    <row r="652" spans="1:8" x14ac:dyDescent="0.25">
      <c r="A652" s="13"/>
      <c r="B652" s="14"/>
      <c r="C652" s="39"/>
      <c r="D652" s="39"/>
      <c r="E652" s="36" t="str">
        <f>IF(SUM(C652:D652)=0," ",SUM(C652:D652))</f>
        <v xml:space="preserve"> </v>
      </c>
      <c r="F652" s="14"/>
      <c r="G652" s="120" t="e">
        <f>VLOOKUP($B652,Information!$C$8:$F$15,4,FALSE)</f>
        <v>#N/A</v>
      </c>
      <c r="H652" s="210" t="str">
        <f>TEXT(A652,"ddd")</f>
        <v>Sat</v>
      </c>
    </row>
    <row r="653" spans="1:8" x14ac:dyDescent="0.25">
      <c r="A653" s="13"/>
      <c r="B653" s="14"/>
      <c r="C653" s="39"/>
      <c r="D653" s="39"/>
      <c r="E653" s="36" t="str">
        <f>IF(SUM(C653:D653)=0," ",SUM(C653:D653))</f>
        <v xml:space="preserve"> </v>
      </c>
      <c r="F653" s="14"/>
      <c r="G653" s="120" t="e">
        <f>VLOOKUP($B653,Information!$C$8:$F$15,4,FALSE)</f>
        <v>#N/A</v>
      </c>
      <c r="H653" s="210" t="str">
        <f>TEXT(A653,"ddd")</f>
        <v>Sat</v>
      </c>
    </row>
    <row r="654" spans="1:8" x14ac:dyDescent="0.25">
      <c r="A654" s="13"/>
      <c r="B654" s="14"/>
      <c r="C654" s="39"/>
      <c r="D654" s="39"/>
      <c r="E654" s="36" t="str">
        <f>IF(SUM(C654:D654)=0," ",SUM(C654:D654))</f>
        <v xml:space="preserve"> </v>
      </c>
      <c r="F654" s="14"/>
      <c r="G654" s="120" t="e">
        <f>VLOOKUP($B654,Information!$C$8:$F$15,4,FALSE)</f>
        <v>#N/A</v>
      </c>
      <c r="H654" s="210" t="str">
        <f>TEXT(A654,"ddd")</f>
        <v>Sat</v>
      </c>
    </row>
    <row r="655" spans="1:8" x14ac:dyDescent="0.25">
      <c r="A655" s="13"/>
      <c r="B655" s="14"/>
      <c r="C655" s="39"/>
      <c r="D655" s="39"/>
      <c r="E655" s="36" t="str">
        <f>IF(SUM(C655:D655)=0," ",SUM(C655:D655))</f>
        <v xml:space="preserve"> </v>
      </c>
      <c r="F655" s="14"/>
      <c r="G655" s="120" t="e">
        <f>VLOOKUP($B655,Information!$C$8:$F$15,4,FALSE)</f>
        <v>#N/A</v>
      </c>
      <c r="H655" s="210" t="str">
        <f>TEXT(A655,"ddd")</f>
        <v>Sat</v>
      </c>
    </row>
    <row r="656" spans="1:8" x14ac:dyDescent="0.25">
      <c r="A656" s="13"/>
      <c r="B656" s="14"/>
      <c r="C656" s="39"/>
      <c r="D656" s="39"/>
      <c r="E656" s="36" t="str">
        <f>IF(SUM(C656:D656)=0," ",SUM(C656:D656))</f>
        <v xml:space="preserve"> </v>
      </c>
      <c r="F656" s="14"/>
      <c r="G656" s="120" t="e">
        <f>VLOOKUP($B656,Information!$C$8:$F$15,4,FALSE)</f>
        <v>#N/A</v>
      </c>
      <c r="H656" s="210" t="str">
        <f>TEXT(A656,"ddd")</f>
        <v>Sat</v>
      </c>
    </row>
    <row r="657" spans="1:8" x14ac:dyDescent="0.25">
      <c r="A657" s="13"/>
      <c r="B657" s="14"/>
      <c r="C657" s="39"/>
      <c r="D657" s="39"/>
      <c r="E657" s="36" t="str">
        <f>IF(SUM(C657:D657)=0," ",SUM(C657:D657))</f>
        <v xml:space="preserve"> </v>
      </c>
      <c r="F657" s="14"/>
      <c r="G657" s="120" t="e">
        <f>VLOOKUP($B657,Information!$C$8:$F$15,4,FALSE)</f>
        <v>#N/A</v>
      </c>
      <c r="H657" s="210" t="str">
        <f>TEXT(A657,"ddd")</f>
        <v>Sat</v>
      </c>
    </row>
    <row r="658" spans="1:8" x14ac:dyDescent="0.25">
      <c r="A658" s="13"/>
      <c r="B658" s="14"/>
      <c r="C658" s="39"/>
      <c r="D658" s="39"/>
      <c r="E658" s="36" t="str">
        <f>IF(SUM(C658:D658)=0," ",SUM(C658:D658))</f>
        <v xml:space="preserve"> </v>
      </c>
      <c r="F658" s="14"/>
      <c r="G658" s="120" t="e">
        <f>VLOOKUP($B658,Information!$C$8:$F$15,4,FALSE)</f>
        <v>#N/A</v>
      </c>
      <c r="H658" s="210" t="str">
        <f>TEXT(A658,"ddd")</f>
        <v>Sat</v>
      </c>
    </row>
    <row r="659" spans="1:8" x14ac:dyDescent="0.25">
      <c r="A659" s="13"/>
      <c r="B659" s="14"/>
      <c r="C659" s="39"/>
      <c r="D659" s="39"/>
      <c r="E659" s="36" t="str">
        <f>IF(SUM(C659:D659)=0," ",SUM(C659:D659))</f>
        <v xml:space="preserve"> </v>
      </c>
      <c r="F659" s="14"/>
      <c r="G659" s="120" t="e">
        <f>VLOOKUP($B659,Information!$C$8:$F$15,4,FALSE)</f>
        <v>#N/A</v>
      </c>
      <c r="H659" s="210" t="str">
        <f>TEXT(A659,"ddd")</f>
        <v>Sat</v>
      </c>
    </row>
    <row r="660" spans="1:8" x14ac:dyDescent="0.25">
      <c r="A660" s="13"/>
      <c r="B660" s="14"/>
      <c r="C660" s="39"/>
      <c r="D660" s="39"/>
      <c r="E660" s="36" t="str">
        <f>IF(SUM(C660:D660)=0," ",SUM(C660:D660))</f>
        <v xml:space="preserve"> </v>
      </c>
      <c r="F660" s="14"/>
      <c r="G660" s="120" t="e">
        <f>VLOOKUP($B660,Information!$C$8:$F$15,4,FALSE)</f>
        <v>#N/A</v>
      </c>
      <c r="H660" s="210" t="str">
        <f>TEXT(A660,"ddd")</f>
        <v>Sat</v>
      </c>
    </row>
    <row r="661" spans="1:8" x14ac:dyDescent="0.25">
      <c r="A661" s="13"/>
      <c r="B661" s="14"/>
      <c r="C661" s="39"/>
      <c r="D661" s="39"/>
      <c r="E661" s="36" t="str">
        <f>IF(SUM(C661:D661)=0," ",SUM(C661:D661))</f>
        <v xml:space="preserve"> </v>
      </c>
      <c r="F661" s="14"/>
      <c r="G661" s="120" t="e">
        <f>VLOOKUP($B661,Information!$C$8:$F$15,4,FALSE)</f>
        <v>#N/A</v>
      </c>
      <c r="H661" s="210" t="str">
        <f>TEXT(A661,"ddd")</f>
        <v>Sat</v>
      </c>
    </row>
    <row r="662" spans="1:8" x14ac:dyDescent="0.25">
      <c r="A662" s="13"/>
      <c r="B662" s="14"/>
      <c r="C662" s="39"/>
      <c r="D662" s="39"/>
      <c r="E662" s="36" t="str">
        <f>IF(SUM(C662:D662)=0," ",SUM(C662:D662))</f>
        <v xml:space="preserve"> </v>
      </c>
      <c r="F662" s="14"/>
      <c r="G662" s="120" t="e">
        <f>VLOOKUP($B662,Information!$C$8:$F$15,4,FALSE)</f>
        <v>#N/A</v>
      </c>
      <c r="H662" s="210" t="str">
        <f>TEXT(A662,"ddd")</f>
        <v>Sat</v>
      </c>
    </row>
    <row r="663" spans="1:8" x14ac:dyDescent="0.25">
      <c r="A663" s="13"/>
      <c r="B663" s="14"/>
      <c r="C663" s="39"/>
      <c r="D663" s="39"/>
      <c r="E663" s="36" t="str">
        <f>IF(SUM(C663:D663)=0," ",SUM(C663:D663))</f>
        <v xml:space="preserve"> </v>
      </c>
      <c r="F663" s="14"/>
      <c r="G663" s="120" t="e">
        <f>VLOOKUP($B663,Information!$C$8:$F$15,4,FALSE)</f>
        <v>#N/A</v>
      </c>
      <c r="H663" s="210" t="str">
        <f>TEXT(A663,"ddd")</f>
        <v>Sat</v>
      </c>
    </row>
    <row r="664" spans="1:8" x14ac:dyDescent="0.25">
      <c r="A664" s="13"/>
      <c r="B664" s="14"/>
      <c r="C664" s="39"/>
      <c r="D664" s="39"/>
      <c r="E664" s="36" t="str">
        <f>IF(SUM(C664:D664)=0," ",SUM(C664:D664))</f>
        <v xml:space="preserve"> </v>
      </c>
      <c r="F664" s="14"/>
      <c r="G664" s="120" t="e">
        <f>VLOOKUP($B664,Information!$C$8:$F$15,4,FALSE)</f>
        <v>#N/A</v>
      </c>
      <c r="H664" s="210" t="str">
        <f>TEXT(A664,"ddd")</f>
        <v>Sat</v>
      </c>
    </row>
    <row r="665" spans="1:8" x14ac:dyDescent="0.25">
      <c r="A665" s="13"/>
      <c r="B665" s="14"/>
      <c r="C665" s="39"/>
      <c r="D665" s="39"/>
      <c r="E665" s="36" t="str">
        <f>IF(SUM(C665:D665)=0," ",SUM(C665:D665))</f>
        <v xml:space="preserve"> </v>
      </c>
      <c r="F665" s="14"/>
      <c r="G665" s="120" t="e">
        <f>VLOOKUP($B665,Information!$C$8:$F$15,4,FALSE)</f>
        <v>#N/A</v>
      </c>
      <c r="H665" s="210" t="str">
        <f>TEXT(A665,"ddd")</f>
        <v>Sat</v>
      </c>
    </row>
    <row r="666" spans="1:8" x14ac:dyDescent="0.25">
      <c r="A666" s="13"/>
      <c r="B666" s="14"/>
      <c r="C666" s="39"/>
      <c r="D666" s="39"/>
      <c r="E666" s="36" t="str">
        <f>IF(SUM(C666:D666)=0," ",SUM(C666:D666))</f>
        <v xml:space="preserve"> </v>
      </c>
      <c r="F666" s="14"/>
      <c r="G666" s="120" t="e">
        <f>VLOOKUP($B666,Information!$C$8:$F$15,4,FALSE)</f>
        <v>#N/A</v>
      </c>
      <c r="H666" s="210" t="str">
        <f>TEXT(A666,"ddd")</f>
        <v>Sat</v>
      </c>
    </row>
    <row r="667" spans="1:8" x14ac:dyDescent="0.25">
      <c r="A667" s="13"/>
      <c r="B667" s="14"/>
      <c r="C667" s="39"/>
      <c r="D667" s="39"/>
      <c r="E667" s="36" t="str">
        <f>IF(SUM(C667:D667)=0," ",SUM(C667:D667))</f>
        <v xml:space="preserve"> </v>
      </c>
      <c r="F667" s="14"/>
      <c r="G667" s="120" t="e">
        <f>VLOOKUP($B667,Information!$C$8:$F$15,4,FALSE)</f>
        <v>#N/A</v>
      </c>
      <c r="H667" s="210" t="str">
        <f>TEXT(A667,"ddd")</f>
        <v>Sat</v>
      </c>
    </row>
    <row r="668" spans="1:8" x14ac:dyDescent="0.25">
      <c r="A668" s="13"/>
      <c r="B668" s="14"/>
      <c r="C668" s="39"/>
      <c r="D668" s="39"/>
      <c r="E668" s="36" t="str">
        <f>IF(SUM(C668:D668)=0," ",SUM(C668:D668))</f>
        <v xml:space="preserve"> </v>
      </c>
      <c r="F668" s="14"/>
      <c r="G668" s="120" t="e">
        <f>VLOOKUP($B668,Information!$C$8:$F$15,4,FALSE)</f>
        <v>#N/A</v>
      </c>
      <c r="H668" s="210" t="str">
        <f>TEXT(A668,"ddd")</f>
        <v>Sat</v>
      </c>
    </row>
    <row r="669" spans="1:8" x14ac:dyDescent="0.25">
      <c r="A669" s="13"/>
      <c r="B669" s="14"/>
      <c r="C669" s="39"/>
      <c r="D669" s="39"/>
      <c r="E669" s="36" t="str">
        <f>IF(SUM(C669:D669)=0," ",SUM(C669:D669))</f>
        <v xml:space="preserve"> </v>
      </c>
      <c r="F669" s="14"/>
      <c r="G669" s="120" t="e">
        <f>VLOOKUP($B669,Information!$C$8:$F$15,4,FALSE)</f>
        <v>#N/A</v>
      </c>
      <c r="H669" s="210" t="str">
        <f>TEXT(A669,"ddd")</f>
        <v>Sat</v>
      </c>
    </row>
    <row r="670" spans="1:8" x14ac:dyDescent="0.25">
      <c r="A670" s="13"/>
      <c r="B670" s="14"/>
      <c r="C670" s="39"/>
      <c r="D670" s="39"/>
      <c r="E670" s="36" t="str">
        <f>IF(SUM(C670:D670)=0," ",SUM(C670:D670))</f>
        <v xml:space="preserve"> </v>
      </c>
      <c r="F670" s="14"/>
      <c r="G670" s="120" t="e">
        <f>VLOOKUP($B670,Information!$C$8:$F$15,4,FALSE)</f>
        <v>#N/A</v>
      </c>
      <c r="H670" s="210" t="str">
        <f>TEXT(A670,"ddd")</f>
        <v>Sat</v>
      </c>
    </row>
    <row r="671" spans="1:8" x14ac:dyDescent="0.25">
      <c r="A671" s="13"/>
      <c r="B671" s="14"/>
      <c r="C671" s="39"/>
      <c r="D671" s="39"/>
      <c r="E671" s="36" t="str">
        <f>IF(SUM(C671:D671)=0," ",SUM(C671:D671))</f>
        <v xml:space="preserve"> </v>
      </c>
      <c r="F671" s="14"/>
      <c r="G671" s="120" t="e">
        <f>VLOOKUP($B671,Information!$C$8:$F$15,4,FALSE)</f>
        <v>#N/A</v>
      </c>
      <c r="H671" s="210" t="str">
        <f>TEXT(A671,"ddd")</f>
        <v>Sat</v>
      </c>
    </row>
    <row r="672" spans="1:8" x14ac:dyDescent="0.25">
      <c r="A672" s="13"/>
      <c r="B672" s="14"/>
      <c r="C672" s="39"/>
      <c r="D672" s="39"/>
      <c r="E672" s="36" t="str">
        <f>IF(SUM(C672:D672)=0," ",SUM(C672:D672))</f>
        <v xml:space="preserve"> </v>
      </c>
      <c r="F672" s="14"/>
      <c r="G672" s="120" t="e">
        <f>VLOOKUP($B672,Information!$C$8:$F$15,4,FALSE)</f>
        <v>#N/A</v>
      </c>
      <c r="H672" s="210" t="str">
        <f>TEXT(A672,"ddd")</f>
        <v>Sat</v>
      </c>
    </row>
    <row r="673" spans="1:8" x14ac:dyDescent="0.25">
      <c r="A673" s="13"/>
      <c r="B673" s="14"/>
      <c r="C673" s="39"/>
      <c r="D673" s="39"/>
      <c r="E673" s="36" t="str">
        <f>IF(SUM(C673:D673)=0," ",SUM(C673:D673))</f>
        <v xml:space="preserve"> </v>
      </c>
      <c r="F673" s="14"/>
      <c r="G673" s="120" t="e">
        <f>VLOOKUP($B673,Information!$C$8:$F$15,4,FALSE)</f>
        <v>#N/A</v>
      </c>
      <c r="H673" s="210" t="str">
        <f>TEXT(A673,"ddd")</f>
        <v>Sat</v>
      </c>
    </row>
    <row r="674" spans="1:8" x14ac:dyDescent="0.25">
      <c r="A674" s="13"/>
      <c r="B674" s="14"/>
      <c r="C674" s="39"/>
      <c r="D674" s="39"/>
      <c r="E674" s="36" t="str">
        <f>IF(SUM(C674:D674)=0," ",SUM(C674:D674))</f>
        <v xml:space="preserve"> </v>
      </c>
      <c r="F674" s="14"/>
      <c r="G674" s="120" t="e">
        <f>VLOOKUP($B674,Information!$C$8:$F$15,4,FALSE)</f>
        <v>#N/A</v>
      </c>
      <c r="H674" s="210" t="str">
        <f>TEXT(A674,"ddd")</f>
        <v>Sat</v>
      </c>
    </row>
    <row r="675" spans="1:8" x14ac:dyDescent="0.25">
      <c r="A675" s="13"/>
      <c r="B675" s="14"/>
      <c r="C675" s="39"/>
      <c r="D675" s="39"/>
      <c r="E675" s="36" t="str">
        <f>IF(SUM(C675:D675)=0," ",SUM(C675:D675))</f>
        <v xml:space="preserve"> </v>
      </c>
      <c r="F675" s="14"/>
      <c r="G675" s="120" t="e">
        <f>VLOOKUP($B675,Information!$C$8:$F$15,4,FALSE)</f>
        <v>#N/A</v>
      </c>
      <c r="H675" s="210" t="str">
        <f>TEXT(A675,"ddd")</f>
        <v>Sat</v>
      </c>
    </row>
    <row r="676" spans="1:8" x14ac:dyDescent="0.25">
      <c r="A676" s="13"/>
      <c r="B676" s="14"/>
      <c r="C676" s="39"/>
      <c r="D676" s="39"/>
      <c r="E676" s="36" t="str">
        <f>IF(SUM(C676:D676)=0," ",SUM(C676:D676))</f>
        <v xml:space="preserve"> </v>
      </c>
      <c r="F676" s="14"/>
      <c r="G676" s="120" t="e">
        <f>VLOOKUP($B676,Information!$C$8:$F$15,4,FALSE)</f>
        <v>#N/A</v>
      </c>
      <c r="H676" s="210" t="str">
        <f>TEXT(A676,"ddd")</f>
        <v>Sat</v>
      </c>
    </row>
    <row r="677" spans="1:8" ht="14.4" customHeight="1" x14ac:dyDescent="0.25">
      <c r="A677" s="13"/>
      <c r="B677" s="14"/>
      <c r="C677" s="39"/>
      <c r="D677" s="39"/>
      <c r="E677" s="36" t="str">
        <f>IF(SUM(C677:D677)=0," ",SUM(C677:D677))</f>
        <v xml:space="preserve"> </v>
      </c>
      <c r="F677" s="14"/>
      <c r="G677" s="120" t="e">
        <f>VLOOKUP($B677,Information!$C$8:$F$15,4,FALSE)</f>
        <v>#N/A</v>
      </c>
      <c r="H677" s="210" t="str">
        <f>TEXT(A677,"ddd")</f>
        <v>Sat</v>
      </c>
    </row>
    <row r="678" spans="1:8" x14ac:dyDescent="0.25">
      <c r="A678" s="13"/>
      <c r="B678" s="14"/>
      <c r="C678" s="39"/>
      <c r="D678" s="39"/>
      <c r="E678" s="36" t="str">
        <f>IF(SUM(C678:D678)=0," ",SUM(C678:D678))</f>
        <v xml:space="preserve"> </v>
      </c>
      <c r="F678" s="14"/>
      <c r="G678" s="120" t="e">
        <f>VLOOKUP($B678,Information!$C$8:$F$15,4,FALSE)</f>
        <v>#N/A</v>
      </c>
      <c r="H678" s="210" t="str">
        <f>TEXT(A678,"ddd")</f>
        <v>Sat</v>
      </c>
    </row>
    <row r="679" spans="1:8" x14ac:dyDescent="0.25">
      <c r="A679" s="13"/>
      <c r="B679" s="14"/>
      <c r="C679" s="39"/>
      <c r="D679" s="39"/>
      <c r="E679" s="36" t="str">
        <f>IF(SUM(C679:D679)=0," ",SUM(C679:D679))</f>
        <v xml:space="preserve"> </v>
      </c>
      <c r="F679" s="14"/>
      <c r="G679" s="120" t="e">
        <f>VLOOKUP($B679,Information!$C$8:$F$15,4,FALSE)</f>
        <v>#N/A</v>
      </c>
      <c r="H679" s="210" t="str">
        <f>TEXT(A679,"ddd")</f>
        <v>Sat</v>
      </c>
    </row>
    <row r="680" spans="1:8" ht="14.4" customHeight="1" x14ac:dyDescent="0.25">
      <c r="A680" s="13"/>
      <c r="B680" s="14"/>
      <c r="C680" s="39"/>
      <c r="D680" s="39"/>
      <c r="E680" s="36" t="str">
        <f>IF(SUM(C680:D680)=0," ",SUM(C680:D680))</f>
        <v xml:space="preserve"> </v>
      </c>
      <c r="F680" s="14"/>
      <c r="G680" s="120" t="e">
        <f>VLOOKUP($B680,Information!$C$8:$F$15,4,FALSE)</f>
        <v>#N/A</v>
      </c>
      <c r="H680" s="210" t="str">
        <f>TEXT(A680,"ddd")</f>
        <v>Sat</v>
      </c>
    </row>
    <row r="681" spans="1:8" ht="14.4" customHeight="1" x14ac:dyDescent="0.25">
      <c r="A681" s="13"/>
      <c r="B681" s="14"/>
      <c r="C681" s="39"/>
      <c r="D681" s="39"/>
      <c r="E681" s="36" t="str">
        <f>IF(SUM(C681:D681)=0," ",SUM(C681:D681))</f>
        <v xml:space="preserve"> </v>
      </c>
      <c r="F681" s="14"/>
      <c r="G681" s="120" t="e">
        <f>VLOOKUP($B681,Information!$C$8:$F$15,4,FALSE)</f>
        <v>#N/A</v>
      </c>
      <c r="H681" s="210" t="str">
        <f>TEXT(A681,"ddd")</f>
        <v>Sat</v>
      </c>
    </row>
    <row r="682" spans="1:8" x14ac:dyDescent="0.25">
      <c r="A682" s="13"/>
      <c r="B682" s="14"/>
      <c r="C682" s="39"/>
      <c r="D682" s="39"/>
      <c r="E682" s="36" t="str">
        <f>IF(SUM(C682:D682)=0," ",SUM(C682:D682))</f>
        <v xml:space="preserve"> </v>
      </c>
      <c r="F682" s="14"/>
      <c r="G682" s="120" t="e">
        <f>VLOOKUP($B682,Information!$C$8:$F$15,4,FALSE)</f>
        <v>#N/A</v>
      </c>
      <c r="H682" s="210" t="str">
        <f>TEXT(A682,"ddd")</f>
        <v>Sat</v>
      </c>
    </row>
    <row r="683" spans="1:8" x14ac:dyDescent="0.25">
      <c r="A683" s="13"/>
      <c r="B683" s="14"/>
      <c r="C683" s="39"/>
      <c r="D683" s="39"/>
      <c r="E683" s="36" t="str">
        <f>IF(SUM(C683:D683)=0," ",SUM(C683:D683))</f>
        <v xml:space="preserve"> </v>
      </c>
      <c r="F683" s="14"/>
      <c r="G683" s="120" t="e">
        <f>VLOOKUP($B683,Information!$C$8:$F$15,4,FALSE)</f>
        <v>#N/A</v>
      </c>
      <c r="H683" s="210" t="str">
        <f>TEXT(A683,"ddd")</f>
        <v>Sat</v>
      </c>
    </row>
    <row r="684" spans="1:8" x14ac:dyDescent="0.25">
      <c r="A684" s="13"/>
      <c r="B684" s="14"/>
      <c r="C684" s="39"/>
      <c r="D684" s="39"/>
      <c r="E684" s="36" t="str">
        <f>IF(SUM(C684:D684)=0," ",SUM(C684:D684))</f>
        <v xml:space="preserve"> </v>
      </c>
      <c r="F684" s="14"/>
      <c r="G684" s="120" t="e">
        <f>VLOOKUP($B684,Information!$C$8:$F$15,4,FALSE)</f>
        <v>#N/A</v>
      </c>
      <c r="H684" s="210" t="str">
        <f>TEXT(A684,"ddd")</f>
        <v>Sat</v>
      </c>
    </row>
    <row r="685" spans="1:8" x14ac:dyDescent="0.25">
      <c r="A685" s="13"/>
      <c r="B685" s="14"/>
      <c r="C685" s="39"/>
      <c r="D685" s="39"/>
      <c r="E685" s="36" t="str">
        <f>IF(SUM(C685:D685)=0," ",SUM(C685:D685))</f>
        <v xml:space="preserve"> </v>
      </c>
      <c r="F685" s="14"/>
      <c r="G685" s="120" t="e">
        <f>VLOOKUP($B685,Information!$C$8:$F$15,4,FALSE)</f>
        <v>#N/A</v>
      </c>
      <c r="H685" s="210" t="str">
        <f>TEXT(A685,"ddd")</f>
        <v>Sat</v>
      </c>
    </row>
    <row r="686" spans="1:8" x14ac:dyDescent="0.25">
      <c r="A686" s="13"/>
      <c r="B686" s="14"/>
      <c r="C686" s="39"/>
      <c r="D686" s="39"/>
      <c r="E686" s="36" t="str">
        <f>IF(SUM(C686:D686)=0," ",SUM(C686:D686))</f>
        <v xml:space="preserve"> </v>
      </c>
      <c r="F686" s="14"/>
      <c r="G686" s="120" t="e">
        <f>VLOOKUP($B686,Information!$C$8:$F$15,4,FALSE)</f>
        <v>#N/A</v>
      </c>
      <c r="H686" s="210" t="str">
        <f>TEXT(A686,"ddd")</f>
        <v>Sat</v>
      </c>
    </row>
    <row r="687" spans="1:8" x14ac:dyDescent="0.25">
      <c r="A687" s="13"/>
      <c r="B687" s="14"/>
      <c r="C687" s="39"/>
      <c r="D687" s="39"/>
      <c r="E687" s="36" t="str">
        <f>IF(SUM(C687:D687)=0," ",SUM(C687:D687))</f>
        <v xml:space="preserve"> </v>
      </c>
      <c r="F687" s="14"/>
      <c r="G687" s="120" t="e">
        <f>VLOOKUP($B687,Information!$C$8:$F$15,4,FALSE)</f>
        <v>#N/A</v>
      </c>
      <c r="H687" s="210" t="str">
        <f>TEXT(A687,"ddd")</f>
        <v>Sat</v>
      </c>
    </row>
    <row r="688" spans="1:8" x14ac:dyDescent="0.25">
      <c r="A688" s="13"/>
      <c r="B688" s="14"/>
      <c r="C688" s="39"/>
      <c r="D688" s="39"/>
      <c r="E688" s="36" t="str">
        <f>IF(SUM(C688:D688)=0," ",SUM(C688:D688))</f>
        <v xml:space="preserve"> </v>
      </c>
      <c r="F688" s="14"/>
      <c r="G688" s="120" t="e">
        <f>VLOOKUP($B688,Information!$C$8:$F$15,4,FALSE)</f>
        <v>#N/A</v>
      </c>
      <c r="H688" s="210" t="str">
        <f>TEXT(A688,"ddd")</f>
        <v>Sat</v>
      </c>
    </row>
    <row r="689" spans="1:8" x14ac:dyDescent="0.25">
      <c r="A689" s="13"/>
      <c r="B689" s="14"/>
      <c r="C689" s="39"/>
      <c r="D689" s="39"/>
      <c r="E689" s="36" t="str">
        <f>IF(SUM(C689:D689)=0," ",SUM(C689:D689))</f>
        <v xml:space="preserve"> </v>
      </c>
      <c r="F689" s="14"/>
      <c r="G689" s="120" t="e">
        <f>VLOOKUP($B689,Information!$C$8:$F$15,4,FALSE)</f>
        <v>#N/A</v>
      </c>
      <c r="H689" s="210" t="str">
        <f>TEXT(A689,"ddd")</f>
        <v>Sat</v>
      </c>
    </row>
    <row r="690" spans="1:8" x14ac:dyDescent="0.25">
      <c r="A690" s="13"/>
      <c r="B690" s="14"/>
      <c r="C690" s="39"/>
      <c r="D690" s="39"/>
      <c r="E690" s="36" t="str">
        <f>IF(SUM(C690:D690)=0," ",SUM(C690:D690))</f>
        <v xml:space="preserve"> </v>
      </c>
      <c r="F690" s="14"/>
      <c r="G690" s="120" t="e">
        <f>VLOOKUP($B690,Information!$C$8:$F$15,4,FALSE)</f>
        <v>#N/A</v>
      </c>
      <c r="H690" s="210" t="str">
        <f>TEXT(A690,"ddd")</f>
        <v>Sat</v>
      </c>
    </row>
    <row r="691" spans="1:8" x14ac:dyDescent="0.25">
      <c r="A691" s="13"/>
      <c r="B691" s="14"/>
      <c r="C691" s="39"/>
      <c r="D691" s="39"/>
      <c r="E691" s="36" t="str">
        <f>IF(SUM(C691:D691)=0," ",SUM(C691:D691))</f>
        <v xml:space="preserve"> </v>
      </c>
      <c r="F691" s="14"/>
      <c r="G691" s="120" t="e">
        <f>VLOOKUP($B691,Information!$C$8:$F$15,4,FALSE)</f>
        <v>#N/A</v>
      </c>
      <c r="H691" s="210" t="str">
        <f>TEXT(A691,"ddd")</f>
        <v>Sat</v>
      </c>
    </row>
    <row r="692" spans="1:8" x14ac:dyDescent="0.25">
      <c r="A692" s="13"/>
      <c r="B692" s="14"/>
      <c r="C692" s="39"/>
      <c r="D692" s="39"/>
      <c r="E692" s="36" t="str">
        <f>IF(SUM(C692:D692)=0," ",SUM(C692:D692))</f>
        <v xml:space="preserve"> </v>
      </c>
      <c r="F692" s="14"/>
      <c r="G692" s="120" t="e">
        <f>VLOOKUP($B692,Information!$C$8:$F$15,4,FALSE)</f>
        <v>#N/A</v>
      </c>
      <c r="H692" s="210" t="str">
        <f>TEXT(A692,"ddd")</f>
        <v>Sat</v>
      </c>
    </row>
    <row r="693" spans="1:8" x14ac:dyDescent="0.25">
      <c r="A693" s="13"/>
      <c r="B693" s="14"/>
      <c r="C693" s="39"/>
      <c r="D693" s="39"/>
      <c r="E693" s="36" t="str">
        <f>IF(SUM(C693:D693)=0," ",SUM(C693:D693))</f>
        <v xml:space="preserve"> </v>
      </c>
      <c r="F693" s="14"/>
      <c r="G693" s="120" t="e">
        <f>VLOOKUP($B693,Information!$C$8:$F$15,4,FALSE)</f>
        <v>#N/A</v>
      </c>
      <c r="H693" s="210" t="str">
        <f>TEXT(A693,"ddd")</f>
        <v>Sat</v>
      </c>
    </row>
    <row r="694" spans="1:8" ht="14.4" customHeight="1" x14ac:dyDescent="0.25">
      <c r="A694" s="13"/>
      <c r="B694" s="14"/>
      <c r="C694" s="39"/>
      <c r="D694" s="39"/>
      <c r="E694" s="36" t="str">
        <f>IF(SUM(C694:D694)=0," ",SUM(C694:D694))</f>
        <v xml:space="preserve"> </v>
      </c>
      <c r="F694" s="14"/>
      <c r="G694" s="120" t="e">
        <f>VLOOKUP($B694,Information!$C$8:$F$15,4,FALSE)</f>
        <v>#N/A</v>
      </c>
      <c r="H694" s="210" t="str">
        <f>TEXT(A694,"ddd")</f>
        <v>Sat</v>
      </c>
    </row>
    <row r="695" spans="1:8" x14ac:dyDescent="0.25">
      <c r="A695" s="13"/>
      <c r="B695" s="14"/>
      <c r="C695" s="39"/>
      <c r="D695" s="39"/>
      <c r="E695" s="36" t="str">
        <f>IF(SUM(C695:D695)=0," ",SUM(C695:D695))</f>
        <v xml:space="preserve"> </v>
      </c>
      <c r="F695" s="14"/>
      <c r="G695" s="120" t="e">
        <f>VLOOKUP($B695,Information!$C$8:$F$15,4,FALSE)</f>
        <v>#N/A</v>
      </c>
      <c r="H695" s="210" t="str">
        <f>TEXT(A695,"ddd")</f>
        <v>Sat</v>
      </c>
    </row>
    <row r="696" spans="1:8" x14ac:dyDescent="0.25">
      <c r="A696" s="13"/>
      <c r="B696" s="14"/>
      <c r="C696" s="39"/>
      <c r="D696" s="39"/>
      <c r="E696" s="36" t="str">
        <f>IF(SUM(C696:D696)=0," ",SUM(C696:D696))</f>
        <v xml:space="preserve"> </v>
      </c>
      <c r="F696" s="14"/>
      <c r="G696" s="120" t="e">
        <f>VLOOKUP($B696,Information!$C$8:$F$15,4,FALSE)</f>
        <v>#N/A</v>
      </c>
      <c r="H696" s="210" t="str">
        <f>TEXT(A696,"ddd")</f>
        <v>Sat</v>
      </c>
    </row>
    <row r="697" spans="1:8" x14ac:dyDescent="0.25">
      <c r="A697" s="13"/>
      <c r="B697" s="14"/>
      <c r="C697" s="39"/>
      <c r="D697" s="39"/>
      <c r="E697" s="36" t="str">
        <f>IF(SUM(C697:D697)=0," ",SUM(C697:D697))</f>
        <v xml:space="preserve"> </v>
      </c>
      <c r="F697" s="14"/>
      <c r="G697" s="120" t="e">
        <f>VLOOKUP($B697,Information!$C$8:$F$15,4,FALSE)</f>
        <v>#N/A</v>
      </c>
      <c r="H697" s="210" t="str">
        <f>TEXT(A697,"ddd")</f>
        <v>Sat</v>
      </c>
    </row>
    <row r="698" spans="1:8" x14ac:dyDescent="0.25">
      <c r="A698" s="13"/>
      <c r="B698" s="14"/>
      <c r="C698" s="39"/>
      <c r="D698" s="39"/>
      <c r="E698" s="36" t="str">
        <f>IF(SUM(C698:D698)=0," ",SUM(C698:D698))</f>
        <v xml:space="preserve"> </v>
      </c>
      <c r="F698" s="14"/>
      <c r="G698" s="120" t="e">
        <f>VLOOKUP($B698,Information!$C$8:$F$15,4,FALSE)</f>
        <v>#N/A</v>
      </c>
      <c r="H698" s="210" t="str">
        <f>TEXT(A698,"ddd")</f>
        <v>Sat</v>
      </c>
    </row>
    <row r="699" spans="1:8" x14ac:dyDescent="0.25">
      <c r="A699" s="13"/>
      <c r="B699" s="14"/>
      <c r="C699" s="39"/>
      <c r="D699" s="39"/>
      <c r="E699" s="36" t="str">
        <f>IF(SUM(C699:D699)=0," ",SUM(C699:D699))</f>
        <v xml:space="preserve"> </v>
      </c>
      <c r="F699" s="14"/>
      <c r="G699" s="120" t="e">
        <f>VLOOKUP($B699,Information!$C$8:$F$15,4,FALSE)</f>
        <v>#N/A</v>
      </c>
      <c r="H699" s="210" t="str">
        <f>TEXT(A699,"ddd")</f>
        <v>Sat</v>
      </c>
    </row>
    <row r="700" spans="1:8" x14ac:dyDescent="0.25">
      <c r="A700" s="13"/>
      <c r="B700" s="14"/>
      <c r="C700" s="39"/>
      <c r="D700" s="39"/>
      <c r="E700" s="36" t="str">
        <f>IF(SUM(C700:D700)=0," ",SUM(C700:D700))</f>
        <v xml:space="preserve"> </v>
      </c>
      <c r="F700" s="14"/>
      <c r="G700" s="120" t="e">
        <f>VLOOKUP($B700,Information!$C$8:$F$15,4,FALSE)</f>
        <v>#N/A</v>
      </c>
      <c r="H700" s="210" t="str">
        <f>TEXT(A700,"ddd")</f>
        <v>Sat</v>
      </c>
    </row>
    <row r="701" spans="1:8" x14ac:dyDescent="0.25">
      <c r="A701" s="13"/>
      <c r="B701" s="14"/>
      <c r="C701" s="39"/>
      <c r="D701" s="39"/>
      <c r="E701" s="36" t="str">
        <f>IF(SUM(C701:D701)=0," ",SUM(C701:D701))</f>
        <v xml:space="preserve"> </v>
      </c>
      <c r="F701" s="14"/>
      <c r="G701" s="120" t="e">
        <f>VLOOKUP($B701,Information!$C$8:$F$15,4,FALSE)</f>
        <v>#N/A</v>
      </c>
      <c r="H701" s="210" t="str">
        <f>TEXT(A701,"ddd")</f>
        <v>Sat</v>
      </c>
    </row>
    <row r="702" spans="1:8" x14ac:dyDescent="0.25">
      <c r="A702" s="13"/>
      <c r="B702" s="14"/>
      <c r="C702" s="39"/>
      <c r="D702" s="39"/>
      <c r="E702" s="36" t="str">
        <f>IF(SUM(C702:D702)=0," ",SUM(C702:D702))</f>
        <v xml:space="preserve"> </v>
      </c>
      <c r="F702" s="14"/>
      <c r="G702" s="120" t="e">
        <f>VLOOKUP($B702,Information!$C$8:$F$15,4,FALSE)</f>
        <v>#N/A</v>
      </c>
      <c r="H702" s="210" t="str">
        <f>TEXT(A702,"ddd")</f>
        <v>Sat</v>
      </c>
    </row>
    <row r="703" spans="1:8" x14ac:dyDescent="0.25">
      <c r="A703" s="13"/>
      <c r="B703" s="14"/>
      <c r="C703" s="39"/>
      <c r="D703" s="39"/>
      <c r="E703" s="36" t="str">
        <f>IF(SUM(C703:D703)=0," ",SUM(C703:D703))</f>
        <v xml:space="preserve"> </v>
      </c>
      <c r="F703" s="14"/>
      <c r="G703" s="120" t="e">
        <f>VLOOKUP($B703,Information!$C$8:$F$15,4,FALSE)</f>
        <v>#N/A</v>
      </c>
      <c r="H703" s="210" t="str">
        <f>TEXT(A703,"ddd")</f>
        <v>Sat</v>
      </c>
    </row>
    <row r="704" spans="1:8" x14ac:dyDescent="0.25">
      <c r="A704" s="13"/>
      <c r="B704" s="14"/>
      <c r="C704" s="39"/>
      <c r="D704" s="39"/>
      <c r="E704" s="36" t="str">
        <f>IF(SUM(C704:D704)=0," ",SUM(C704:D704))</f>
        <v xml:space="preserve"> </v>
      </c>
      <c r="F704" s="14"/>
      <c r="G704" s="120" t="e">
        <f>VLOOKUP($B704,Information!$C$8:$F$15,4,FALSE)</f>
        <v>#N/A</v>
      </c>
      <c r="H704" s="210" t="str">
        <f>TEXT(A704,"ddd")</f>
        <v>Sat</v>
      </c>
    </row>
    <row r="705" spans="1:8" x14ac:dyDescent="0.25">
      <c r="A705" s="13"/>
      <c r="B705" s="14"/>
      <c r="C705" s="39"/>
      <c r="D705" s="39"/>
      <c r="E705" s="36" t="str">
        <f>IF(SUM(C705:D705)=0," ",SUM(C705:D705))</f>
        <v xml:space="preserve"> </v>
      </c>
      <c r="F705" s="14"/>
      <c r="G705" s="120" t="e">
        <f>VLOOKUP($B705,Information!$C$8:$F$15,4,FALSE)</f>
        <v>#N/A</v>
      </c>
      <c r="H705" s="210" t="str">
        <f>TEXT(A705,"ddd")</f>
        <v>Sat</v>
      </c>
    </row>
    <row r="706" spans="1:8" x14ac:dyDescent="0.25">
      <c r="A706" s="13"/>
      <c r="B706" s="14"/>
      <c r="C706" s="39"/>
      <c r="D706" s="39"/>
      <c r="E706" s="36" t="str">
        <f>IF(SUM(C706:D706)=0," ",SUM(C706:D706))</f>
        <v xml:space="preserve"> </v>
      </c>
      <c r="F706" s="14"/>
      <c r="G706" s="120" t="e">
        <f>VLOOKUP($B706,Information!$C$8:$F$15,4,FALSE)</f>
        <v>#N/A</v>
      </c>
      <c r="H706" s="210" t="str">
        <f>TEXT(A706,"ddd")</f>
        <v>Sat</v>
      </c>
    </row>
    <row r="707" spans="1:8" x14ac:dyDescent="0.25">
      <c r="A707" s="13"/>
      <c r="B707" s="14"/>
      <c r="C707" s="39"/>
      <c r="D707" s="39"/>
      <c r="E707" s="36" t="str">
        <f>IF(SUM(C707:D707)=0," ",SUM(C707:D707))</f>
        <v xml:space="preserve"> </v>
      </c>
      <c r="F707" s="14"/>
      <c r="G707" s="120" t="e">
        <f>VLOOKUP($B707,Information!$C$8:$F$15,4,FALSE)</f>
        <v>#N/A</v>
      </c>
      <c r="H707" s="210" t="str">
        <f>TEXT(A707,"ddd")</f>
        <v>Sat</v>
      </c>
    </row>
    <row r="708" spans="1:8" x14ac:dyDescent="0.25">
      <c r="A708" s="13"/>
      <c r="B708" s="14"/>
      <c r="C708" s="39"/>
      <c r="D708" s="39"/>
      <c r="E708" s="36" t="str">
        <f>IF(SUM(C708:D708)=0," ",SUM(C708:D708))</f>
        <v xml:space="preserve"> </v>
      </c>
      <c r="F708" s="14"/>
      <c r="G708" s="120" t="e">
        <f>VLOOKUP($B708,Information!$C$8:$F$15,4,FALSE)</f>
        <v>#N/A</v>
      </c>
      <c r="H708" s="210" t="str">
        <f>TEXT(A708,"ddd")</f>
        <v>Sat</v>
      </c>
    </row>
    <row r="709" spans="1:8" x14ac:dyDescent="0.25">
      <c r="A709" s="13"/>
      <c r="B709" s="14"/>
      <c r="C709" s="39"/>
      <c r="D709" s="39"/>
      <c r="E709" s="36" t="str">
        <f>IF(SUM(C709:D709)=0," ",SUM(C709:D709))</f>
        <v xml:space="preserve"> </v>
      </c>
      <c r="F709" s="14"/>
      <c r="G709" s="120" t="e">
        <f>VLOOKUP($B709,Information!$C$8:$F$15,4,FALSE)</f>
        <v>#N/A</v>
      </c>
      <c r="H709" s="210" t="str">
        <f>TEXT(A709,"ddd")</f>
        <v>Sat</v>
      </c>
    </row>
    <row r="710" spans="1:8" x14ac:dyDescent="0.25">
      <c r="A710" s="13"/>
      <c r="B710" s="14"/>
      <c r="C710" s="39"/>
      <c r="D710" s="39"/>
      <c r="E710" s="36" t="str">
        <f>IF(SUM(C710:D710)=0," ",SUM(C710:D710))</f>
        <v xml:space="preserve"> </v>
      </c>
      <c r="F710" s="14"/>
      <c r="G710" s="120" t="e">
        <f>VLOOKUP($B710,Information!$C$8:$F$15,4,FALSE)</f>
        <v>#N/A</v>
      </c>
      <c r="H710" s="210" t="str">
        <f>TEXT(A710,"ddd")</f>
        <v>Sat</v>
      </c>
    </row>
    <row r="711" spans="1:8" x14ac:dyDescent="0.25">
      <c r="A711" s="13"/>
      <c r="B711" s="14"/>
      <c r="C711" s="39"/>
      <c r="D711" s="39"/>
      <c r="E711" s="36" t="str">
        <f>IF(SUM(C711:D711)=0," ",SUM(C711:D711))</f>
        <v xml:space="preserve"> </v>
      </c>
      <c r="F711" s="14"/>
      <c r="G711" s="120" t="e">
        <f>VLOOKUP($B711,Information!$C$8:$F$15,4,FALSE)</f>
        <v>#N/A</v>
      </c>
      <c r="H711" s="210" t="str">
        <f>TEXT(A711,"ddd")</f>
        <v>Sat</v>
      </c>
    </row>
    <row r="712" spans="1:8" ht="14.4" customHeight="1" x14ac:dyDescent="0.25">
      <c r="A712" s="13"/>
      <c r="B712" s="14"/>
      <c r="C712" s="39"/>
      <c r="D712" s="39"/>
      <c r="E712" s="36" t="str">
        <f>IF(SUM(C712:D712)=0," ",SUM(C712:D712))</f>
        <v xml:space="preserve"> </v>
      </c>
      <c r="F712" s="14"/>
      <c r="G712" s="120" t="e">
        <f>VLOOKUP($B712,Information!$C$8:$F$15,4,FALSE)</f>
        <v>#N/A</v>
      </c>
      <c r="H712" s="210" t="str">
        <f>TEXT(A712,"ddd")</f>
        <v>Sat</v>
      </c>
    </row>
    <row r="713" spans="1:8" x14ac:dyDescent="0.25">
      <c r="A713" s="13"/>
      <c r="B713" s="14"/>
      <c r="C713" s="39"/>
      <c r="D713" s="39"/>
      <c r="E713" s="36" t="str">
        <f>IF(SUM(C713:D713)=0," ",SUM(C713:D713))</f>
        <v xml:space="preserve"> </v>
      </c>
      <c r="F713" s="14"/>
      <c r="G713" s="120" t="e">
        <f>VLOOKUP($B713,Information!$C$8:$F$15,4,FALSE)</f>
        <v>#N/A</v>
      </c>
      <c r="H713" s="210" t="str">
        <f>TEXT(A713,"ddd")</f>
        <v>Sat</v>
      </c>
    </row>
    <row r="714" spans="1:8" x14ac:dyDescent="0.25">
      <c r="A714" s="13"/>
      <c r="B714" s="14"/>
      <c r="C714" s="39"/>
      <c r="D714" s="39"/>
      <c r="E714" s="36" t="str">
        <f>IF(SUM(C714:D714)=0," ",SUM(C714:D714))</f>
        <v xml:space="preserve"> </v>
      </c>
      <c r="F714" s="14"/>
      <c r="G714" s="120" t="e">
        <f>VLOOKUP($B714,Information!$C$8:$F$15,4,FALSE)</f>
        <v>#N/A</v>
      </c>
      <c r="H714" s="210" t="str">
        <f>TEXT(A714,"ddd")</f>
        <v>Sat</v>
      </c>
    </row>
    <row r="715" spans="1:8" x14ac:dyDescent="0.25">
      <c r="A715" s="13"/>
      <c r="B715" s="14"/>
      <c r="C715" s="39"/>
      <c r="D715" s="39"/>
      <c r="E715" s="36" t="str">
        <f>IF(SUM(C715:D715)=0," ",SUM(C715:D715))</f>
        <v xml:space="preserve"> </v>
      </c>
      <c r="F715" s="14"/>
      <c r="G715" s="120" t="e">
        <f>VLOOKUP($B715,Information!$C$8:$F$15,4,FALSE)</f>
        <v>#N/A</v>
      </c>
      <c r="H715" s="210" t="str">
        <f>TEXT(A715,"ddd")</f>
        <v>Sat</v>
      </c>
    </row>
    <row r="716" spans="1:8" x14ac:dyDescent="0.25">
      <c r="A716" s="13"/>
      <c r="B716" s="14"/>
      <c r="C716" s="39"/>
      <c r="D716" s="39"/>
      <c r="E716" s="36" t="str">
        <f>IF(SUM(C716:D716)=0," ",SUM(C716:D716))</f>
        <v xml:space="preserve"> </v>
      </c>
      <c r="F716" s="14"/>
      <c r="G716" s="120" t="e">
        <f>VLOOKUP($B716,Information!$C$8:$F$15,4,FALSE)</f>
        <v>#N/A</v>
      </c>
      <c r="H716" s="210" t="str">
        <f>TEXT(A716,"ddd")</f>
        <v>Sat</v>
      </c>
    </row>
    <row r="717" spans="1:8" x14ac:dyDescent="0.25">
      <c r="A717" s="13"/>
      <c r="B717" s="14"/>
      <c r="C717" s="39"/>
      <c r="D717" s="39"/>
      <c r="E717" s="36" t="str">
        <f>IF(SUM(C717:D717)=0," ",SUM(C717:D717))</f>
        <v xml:space="preserve"> </v>
      </c>
      <c r="F717" s="14"/>
      <c r="G717" s="120" t="e">
        <f>VLOOKUP($B717,Information!$C$8:$F$15,4,FALSE)</f>
        <v>#N/A</v>
      </c>
      <c r="H717" s="210" t="str">
        <f>TEXT(A717,"ddd")</f>
        <v>Sat</v>
      </c>
    </row>
    <row r="718" spans="1:8" x14ac:dyDescent="0.25">
      <c r="A718" s="13"/>
      <c r="B718" s="14"/>
      <c r="C718" s="39"/>
      <c r="D718" s="39"/>
      <c r="E718" s="36" t="str">
        <f>IF(SUM(C718:D718)=0," ",SUM(C718:D718))</f>
        <v xml:space="preserve"> </v>
      </c>
      <c r="F718" s="14"/>
      <c r="G718" s="120" t="e">
        <f>VLOOKUP($B718,Information!$C$8:$F$15,4,FALSE)</f>
        <v>#N/A</v>
      </c>
      <c r="H718" s="210" t="str">
        <f>TEXT(A718,"ddd")</f>
        <v>Sat</v>
      </c>
    </row>
    <row r="719" spans="1:8" ht="14.4" customHeight="1" x14ac:dyDescent="0.25">
      <c r="A719" s="13"/>
      <c r="B719" s="14"/>
      <c r="C719" s="39"/>
      <c r="D719" s="39"/>
      <c r="E719" s="36" t="str">
        <f>IF(SUM(C719:D719)=0," ",SUM(C719:D719))</f>
        <v xml:space="preserve"> </v>
      </c>
      <c r="F719" s="14"/>
      <c r="G719" s="120" t="e">
        <f>VLOOKUP($B719,Information!$C$8:$F$15,4,FALSE)</f>
        <v>#N/A</v>
      </c>
      <c r="H719" s="210" t="str">
        <f>TEXT(A719,"ddd")</f>
        <v>Sat</v>
      </c>
    </row>
    <row r="720" spans="1:8" x14ac:dyDescent="0.25">
      <c r="A720" s="13"/>
      <c r="B720" s="14"/>
      <c r="C720" s="39"/>
      <c r="D720" s="39"/>
      <c r="E720" s="36" t="str">
        <f>IF(SUM(C720:D720)=0," ",SUM(C720:D720))</f>
        <v xml:space="preserve"> </v>
      </c>
      <c r="F720" s="14"/>
      <c r="G720" s="120" t="e">
        <f>VLOOKUP($B720,Information!$C$8:$F$15,4,FALSE)</f>
        <v>#N/A</v>
      </c>
      <c r="H720" s="210" t="str">
        <f>TEXT(A720,"ddd")</f>
        <v>Sat</v>
      </c>
    </row>
    <row r="721" spans="1:8" x14ac:dyDescent="0.25">
      <c r="A721" s="13"/>
      <c r="B721" s="14"/>
      <c r="C721" s="39"/>
      <c r="D721" s="39"/>
      <c r="E721" s="36" t="str">
        <f>IF(SUM(C721:D721)=0," ",SUM(C721:D721))</f>
        <v xml:space="preserve"> </v>
      </c>
      <c r="F721" s="14"/>
      <c r="G721" s="120" t="e">
        <f>VLOOKUP($B721,Information!$C$8:$F$15,4,FALSE)</f>
        <v>#N/A</v>
      </c>
      <c r="H721" s="210" t="str">
        <f>TEXT(A721,"ddd")</f>
        <v>Sat</v>
      </c>
    </row>
    <row r="722" spans="1:8" ht="14.4" customHeight="1" x14ac:dyDescent="0.25">
      <c r="A722" s="13"/>
      <c r="B722" s="14"/>
      <c r="C722" s="39"/>
      <c r="D722" s="39"/>
      <c r="E722" s="36" t="str">
        <f>IF(SUM(C722:D722)=0," ",SUM(C722:D722))</f>
        <v xml:space="preserve"> </v>
      </c>
      <c r="F722" s="14"/>
      <c r="G722" s="120" t="e">
        <f>VLOOKUP($B722,Information!$C$8:$F$15,4,FALSE)</f>
        <v>#N/A</v>
      </c>
      <c r="H722" s="210" t="str">
        <f>TEXT(A722,"ddd")</f>
        <v>Sat</v>
      </c>
    </row>
    <row r="723" spans="1:8" x14ac:dyDescent="0.25">
      <c r="A723" s="13"/>
      <c r="B723" s="14"/>
      <c r="C723" s="39"/>
      <c r="D723" s="39"/>
      <c r="E723" s="36" t="str">
        <f>IF(SUM(C723:D723)=0," ",SUM(C723:D723))</f>
        <v xml:space="preserve"> </v>
      </c>
      <c r="F723" s="14"/>
      <c r="G723" s="120" t="e">
        <f>VLOOKUP($B723,Information!$C$8:$F$15,4,FALSE)</f>
        <v>#N/A</v>
      </c>
      <c r="H723" s="210" t="str">
        <f>TEXT(A723,"ddd")</f>
        <v>Sat</v>
      </c>
    </row>
    <row r="724" spans="1:8" x14ac:dyDescent="0.25">
      <c r="A724" s="13"/>
      <c r="B724" s="14"/>
      <c r="C724" s="39"/>
      <c r="D724" s="39"/>
      <c r="E724" s="36" t="str">
        <f>IF(SUM(C724:D724)=0," ",SUM(C724:D724))</f>
        <v xml:space="preserve"> </v>
      </c>
      <c r="F724" s="14"/>
      <c r="G724" s="120" t="e">
        <f>VLOOKUP($B724,Information!$C$8:$F$15,4,FALSE)</f>
        <v>#N/A</v>
      </c>
      <c r="H724" s="210" t="str">
        <f>TEXT(A724,"ddd")</f>
        <v>Sat</v>
      </c>
    </row>
    <row r="725" spans="1:8" x14ac:dyDescent="0.25">
      <c r="A725" s="13"/>
      <c r="B725" s="14"/>
      <c r="C725" s="39"/>
      <c r="D725" s="39"/>
      <c r="E725" s="36" t="str">
        <f>IF(SUM(C725:D725)=0," ",SUM(C725:D725))</f>
        <v xml:space="preserve"> </v>
      </c>
      <c r="F725" s="14"/>
      <c r="G725" s="120" t="e">
        <f>VLOOKUP($B725,Information!$C$8:$F$15,4,FALSE)</f>
        <v>#N/A</v>
      </c>
      <c r="H725" s="210" t="str">
        <f>TEXT(A725,"ddd")</f>
        <v>Sat</v>
      </c>
    </row>
    <row r="726" spans="1:8" x14ac:dyDescent="0.25">
      <c r="A726" s="13"/>
      <c r="B726" s="14"/>
      <c r="C726" s="39"/>
      <c r="D726" s="39"/>
      <c r="E726" s="36" t="str">
        <f>IF(SUM(C726:D726)=0," ",SUM(C726:D726))</f>
        <v xml:space="preserve"> </v>
      </c>
      <c r="F726" s="14"/>
      <c r="G726" s="120" t="e">
        <f>VLOOKUP($B726,Information!$C$8:$F$15,4,FALSE)</f>
        <v>#N/A</v>
      </c>
      <c r="H726" s="210" t="str">
        <f>TEXT(A726,"ddd")</f>
        <v>Sat</v>
      </c>
    </row>
    <row r="727" spans="1:8" x14ac:dyDescent="0.25">
      <c r="A727" s="13"/>
      <c r="B727" s="14"/>
      <c r="C727" s="39"/>
      <c r="D727" s="39"/>
      <c r="E727" s="36" t="str">
        <f>IF(SUM(C727:D727)=0," ",SUM(C727:D727))</f>
        <v xml:space="preserve"> </v>
      </c>
      <c r="F727" s="14"/>
      <c r="G727" s="120" t="e">
        <f>VLOOKUP($B727,Information!$C$8:$F$15,4,FALSE)</f>
        <v>#N/A</v>
      </c>
      <c r="H727" s="210" t="str">
        <f>TEXT(A727,"ddd")</f>
        <v>Sat</v>
      </c>
    </row>
    <row r="728" spans="1:8" x14ac:dyDescent="0.25">
      <c r="A728" s="13"/>
      <c r="B728" s="14"/>
      <c r="C728" s="39"/>
      <c r="D728" s="39"/>
      <c r="E728" s="36" t="str">
        <f>IF(SUM(C728:D728)=0," ",SUM(C728:D728))</f>
        <v xml:space="preserve"> </v>
      </c>
      <c r="F728" s="14"/>
      <c r="G728" s="120" t="e">
        <f>VLOOKUP($B728,Information!$C$8:$F$15,4,FALSE)</f>
        <v>#N/A</v>
      </c>
      <c r="H728" s="210" t="str">
        <f>TEXT(A728,"ddd")</f>
        <v>Sat</v>
      </c>
    </row>
    <row r="729" spans="1:8" x14ac:dyDescent="0.25">
      <c r="A729" s="13"/>
      <c r="B729" s="14"/>
      <c r="C729" s="39"/>
      <c r="D729" s="39"/>
      <c r="E729" s="36" t="str">
        <f>IF(SUM(C729:D729)=0," ",SUM(C729:D729))</f>
        <v xml:space="preserve"> </v>
      </c>
      <c r="F729" s="14"/>
      <c r="G729" s="120" t="e">
        <f>VLOOKUP($B729,Information!$C$8:$F$15,4,FALSE)</f>
        <v>#N/A</v>
      </c>
      <c r="H729" s="210" t="str">
        <f>TEXT(A729,"ddd")</f>
        <v>Sat</v>
      </c>
    </row>
    <row r="730" spans="1:8" x14ac:dyDescent="0.25">
      <c r="A730" s="13"/>
      <c r="B730" s="14"/>
      <c r="C730" s="39"/>
      <c r="D730" s="39"/>
      <c r="E730" s="36" t="str">
        <f>IF(SUM(C730:D730)=0," ",SUM(C730:D730))</f>
        <v xml:space="preserve"> </v>
      </c>
      <c r="F730" s="14"/>
      <c r="G730" s="120" t="e">
        <f>VLOOKUP($B730,Information!$C$8:$F$15,4,FALSE)</f>
        <v>#N/A</v>
      </c>
      <c r="H730" s="210" t="str">
        <f>TEXT(A730,"ddd")</f>
        <v>Sat</v>
      </c>
    </row>
    <row r="731" spans="1:8" x14ac:dyDescent="0.25">
      <c r="A731" s="13"/>
      <c r="B731" s="14"/>
      <c r="C731" s="39"/>
      <c r="D731" s="39"/>
      <c r="E731" s="36" t="str">
        <f>IF(SUM(C731:D731)=0," ",SUM(C731:D731))</f>
        <v xml:space="preserve"> </v>
      </c>
      <c r="F731" s="14"/>
      <c r="G731" s="120" t="e">
        <f>VLOOKUP($B731,Information!$C$8:$F$15,4,FALSE)</f>
        <v>#N/A</v>
      </c>
      <c r="H731" s="210" t="str">
        <f>TEXT(A731,"ddd")</f>
        <v>Sat</v>
      </c>
    </row>
    <row r="732" spans="1:8" x14ac:dyDescent="0.25">
      <c r="A732" s="13"/>
      <c r="B732" s="14"/>
      <c r="C732" s="39"/>
      <c r="D732" s="39"/>
      <c r="E732" s="36" t="str">
        <f>IF(SUM(C732:D732)=0," ",SUM(C732:D732))</f>
        <v xml:space="preserve"> </v>
      </c>
      <c r="F732" s="14"/>
      <c r="G732" s="120" t="e">
        <f>VLOOKUP($B732,Information!$C$8:$F$15,4,FALSE)</f>
        <v>#N/A</v>
      </c>
      <c r="H732" s="210" t="str">
        <f>TEXT(A732,"ddd")</f>
        <v>Sat</v>
      </c>
    </row>
    <row r="733" spans="1:8" x14ac:dyDescent="0.25">
      <c r="A733" s="13"/>
      <c r="B733" s="14"/>
      <c r="C733" s="39"/>
      <c r="D733" s="39"/>
      <c r="E733" s="36" t="str">
        <f>IF(SUM(C733:D733)=0," ",SUM(C733:D733))</f>
        <v xml:space="preserve"> </v>
      </c>
      <c r="F733" s="14"/>
      <c r="G733" s="120" t="e">
        <f>VLOOKUP($B733,Information!$C$8:$F$15,4,FALSE)</f>
        <v>#N/A</v>
      </c>
      <c r="H733" s="210" t="str">
        <f>TEXT(A733,"ddd")</f>
        <v>Sat</v>
      </c>
    </row>
    <row r="734" spans="1:8" x14ac:dyDescent="0.25">
      <c r="A734" s="13"/>
      <c r="B734" s="14"/>
      <c r="C734" s="39"/>
      <c r="D734" s="39"/>
      <c r="E734" s="36" t="str">
        <f>IF(SUM(C734:D734)=0," ",SUM(C734:D734))</f>
        <v xml:space="preserve"> </v>
      </c>
      <c r="F734" s="14"/>
      <c r="G734" s="120" t="e">
        <f>VLOOKUP($B734,Information!$C$8:$F$15,4,FALSE)</f>
        <v>#N/A</v>
      </c>
      <c r="H734" s="210" t="str">
        <f>TEXT(A734,"ddd")</f>
        <v>Sat</v>
      </c>
    </row>
    <row r="735" spans="1:8" x14ac:dyDescent="0.25">
      <c r="A735" s="13"/>
      <c r="B735" s="14"/>
      <c r="C735" s="39"/>
      <c r="D735" s="39"/>
      <c r="E735" s="36" t="str">
        <f>IF(SUM(C735:D735)=0," ",SUM(C735:D735))</f>
        <v xml:space="preserve"> </v>
      </c>
      <c r="F735" s="14"/>
      <c r="G735" s="120" t="e">
        <f>VLOOKUP($B735,Information!$C$8:$F$15,4,FALSE)</f>
        <v>#N/A</v>
      </c>
      <c r="H735" s="210" t="str">
        <f>TEXT(A735,"ddd")</f>
        <v>Sat</v>
      </c>
    </row>
    <row r="736" spans="1:8" x14ac:dyDescent="0.25">
      <c r="A736" s="13"/>
      <c r="B736" s="14"/>
      <c r="C736" s="39"/>
      <c r="D736" s="39"/>
      <c r="E736" s="36" t="str">
        <f>IF(SUM(C736:D736)=0," ",SUM(C736:D736))</f>
        <v xml:space="preserve"> </v>
      </c>
      <c r="F736" s="14"/>
      <c r="G736" s="120" t="e">
        <f>VLOOKUP($B736,Information!$C$8:$F$15,4,FALSE)</f>
        <v>#N/A</v>
      </c>
      <c r="H736" s="210" t="str">
        <f>TEXT(A736,"ddd")</f>
        <v>Sat</v>
      </c>
    </row>
    <row r="737" spans="1:8" x14ac:dyDescent="0.25">
      <c r="A737" s="13"/>
      <c r="B737" s="14"/>
      <c r="C737" s="39"/>
      <c r="D737" s="39"/>
      <c r="E737" s="36" t="str">
        <f>IF(SUM(C737:D737)=0," ",SUM(C737:D737))</f>
        <v xml:space="preserve"> </v>
      </c>
      <c r="F737" s="14"/>
      <c r="G737" s="120" t="e">
        <f>VLOOKUP($B737,Information!$C$8:$F$15,4,FALSE)</f>
        <v>#N/A</v>
      </c>
      <c r="H737" s="210" t="str">
        <f>TEXT(A737,"ddd")</f>
        <v>Sat</v>
      </c>
    </row>
    <row r="738" spans="1:8" x14ac:dyDescent="0.25">
      <c r="A738" s="13"/>
      <c r="B738" s="14"/>
      <c r="C738" s="39"/>
      <c r="D738" s="39"/>
      <c r="E738" s="36" t="str">
        <f>IF(SUM(C738:D738)=0," ",SUM(C738:D738))</f>
        <v xml:space="preserve"> </v>
      </c>
      <c r="F738" s="14"/>
      <c r="G738" s="120" t="e">
        <f>VLOOKUP($B738,Information!$C$8:$F$15,4,FALSE)</f>
        <v>#N/A</v>
      </c>
      <c r="H738" s="210" t="str">
        <f>TEXT(A738,"ddd")</f>
        <v>Sat</v>
      </c>
    </row>
    <row r="739" spans="1:8" x14ac:dyDescent="0.25">
      <c r="A739" s="13"/>
      <c r="B739" s="14"/>
      <c r="C739" s="39"/>
      <c r="D739" s="39"/>
      <c r="E739" s="36" t="str">
        <f>IF(SUM(C739:D739)=0," ",SUM(C739:D739))</f>
        <v xml:space="preserve"> </v>
      </c>
      <c r="F739" s="14"/>
      <c r="G739" s="120" t="e">
        <f>VLOOKUP($B739,Information!$C$8:$F$15,4,FALSE)</f>
        <v>#N/A</v>
      </c>
      <c r="H739" s="210" t="str">
        <f>TEXT(A739,"ddd")</f>
        <v>Sat</v>
      </c>
    </row>
    <row r="740" spans="1:8" x14ac:dyDescent="0.25">
      <c r="A740" s="13"/>
      <c r="B740" s="14"/>
      <c r="C740" s="39"/>
      <c r="D740" s="39"/>
      <c r="E740" s="36" t="str">
        <f>IF(SUM(C740:D740)=0," ",SUM(C740:D740))</f>
        <v xml:space="preserve"> </v>
      </c>
      <c r="F740" s="14"/>
      <c r="G740" s="120" t="e">
        <f>VLOOKUP($B740,Information!$C$8:$F$15,4,FALSE)</f>
        <v>#N/A</v>
      </c>
      <c r="H740" s="210" t="str">
        <f>TEXT(A740,"ddd")</f>
        <v>Sat</v>
      </c>
    </row>
    <row r="741" spans="1:8" x14ac:dyDescent="0.25">
      <c r="A741" s="13"/>
      <c r="B741" s="14"/>
      <c r="C741" s="39"/>
      <c r="D741" s="39"/>
      <c r="E741" s="36" t="str">
        <f>IF(SUM(C741:D741)=0," ",SUM(C741:D741))</f>
        <v xml:space="preserve"> </v>
      </c>
      <c r="F741" s="14"/>
      <c r="G741" s="120" t="e">
        <f>VLOOKUP($B741,Information!$C$8:$F$15,4,FALSE)</f>
        <v>#N/A</v>
      </c>
      <c r="H741" s="210" t="str">
        <f>TEXT(A741,"ddd")</f>
        <v>Sat</v>
      </c>
    </row>
    <row r="742" spans="1:8" x14ac:dyDescent="0.25">
      <c r="A742" s="13"/>
      <c r="B742" s="14"/>
      <c r="C742" s="39"/>
      <c r="D742" s="39"/>
      <c r="E742" s="36" t="str">
        <f>IF(SUM(C742:D742)=0," ",SUM(C742:D742))</f>
        <v xml:space="preserve"> </v>
      </c>
      <c r="F742" s="14"/>
      <c r="G742" s="120" t="e">
        <f>VLOOKUP($B742,Information!$C$8:$F$15,4,FALSE)</f>
        <v>#N/A</v>
      </c>
      <c r="H742" s="210" t="str">
        <f>TEXT(A742,"ddd")</f>
        <v>Sat</v>
      </c>
    </row>
    <row r="743" spans="1:8" x14ac:dyDescent="0.25">
      <c r="A743" s="13"/>
      <c r="B743" s="14"/>
      <c r="C743" s="39"/>
      <c r="D743" s="39"/>
      <c r="E743" s="36" t="str">
        <f>IF(SUM(C743:D743)=0," ",SUM(C743:D743))</f>
        <v xml:space="preserve"> </v>
      </c>
      <c r="F743" s="14"/>
      <c r="G743" s="120" t="e">
        <f>VLOOKUP($B743,Information!$C$8:$F$15,4,FALSE)</f>
        <v>#N/A</v>
      </c>
      <c r="H743" s="210" t="str">
        <f>TEXT(A743,"ddd")</f>
        <v>Sat</v>
      </c>
    </row>
    <row r="744" spans="1:8" x14ac:dyDescent="0.25">
      <c r="A744" s="13"/>
      <c r="B744" s="14"/>
      <c r="C744" s="39"/>
      <c r="D744" s="39"/>
      <c r="E744" s="36" t="str">
        <f>IF(SUM(C744:D744)=0," ",SUM(C744:D744))</f>
        <v xml:space="preserve"> </v>
      </c>
      <c r="F744" s="14"/>
      <c r="G744" s="120" t="e">
        <f>VLOOKUP($B744,Information!$C$8:$F$15,4,FALSE)</f>
        <v>#N/A</v>
      </c>
      <c r="H744" s="210" t="str">
        <f>TEXT(A744,"ddd")</f>
        <v>Sat</v>
      </c>
    </row>
    <row r="745" spans="1:8" x14ac:dyDescent="0.25">
      <c r="A745" s="13"/>
      <c r="B745" s="14"/>
      <c r="C745" s="39"/>
      <c r="D745" s="39"/>
      <c r="E745" s="36" t="str">
        <f>IF(SUM(C745:D745)=0," ",SUM(C745:D745))</f>
        <v xml:space="preserve"> </v>
      </c>
      <c r="F745" s="14"/>
      <c r="G745" s="120" t="e">
        <f>VLOOKUP($B745,Information!$C$8:$F$15,4,FALSE)</f>
        <v>#N/A</v>
      </c>
      <c r="H745" s="210" t="str">
        <f>TEXT(A745,"ddd")</f>
        <v>Sat</v>
      </c>
    </row>
    <row r="746" spans="1:8" x14ac:dyDescent="0.25">
      <c r="A746" s="13"/>
      <c r="B746" s="14"/>
      <c r="C746" s="39"/>
      <c r="D746" s="39"/>
      <c r="E746" s="36" t="str">
        <f>IF(SUM(C746:D746)=0," ",SUM(C746:D746))</f>
        <v xml:space="preserve"> </v>
      </c>
      <c r="F746" s="14"/>
      <c r="G746" s="120" t="e">
        <f>VLOOKUP($B746,Information!$C$8:$F$15,4,FALSE)</f>
        <v>#N/A</v>
      </c>
      <c r="H746" s="210" t="str">
        <f>TEXT(A746,"ddd")</f>
        <v>Sat</v>
      </c>
    </row>
    <row r="747" spans="1:8" x14ac:dyDescent="0.25">
      <c r="A747" s="13"/>
      <c r="B747" s="14"/>
      <c r="C747" s="39"/>
      <c r="D747" s="39"/>
      <c r="E747" s="36" t="str">
        <f>IF(SUM(C747:D747)=0," ",SUM(C747:D747))</f>
        <v xml:space="preserve"> </v>
      </c>
      <c r="F747" s="14"/>
      <c r="G747" s="120" t="e">
        <f>VLOOKUP($B747,Information!$C$8:$F$15,4,FALSE)</f>
        <v>#N/A</v>
      </c>
      <c r="H747" s="210" t="str">
        <f>TEXT(A747,"ddd")</f>
        <v>Sat</v>
      </c>
    </row>
    <row r="748" spans="1:8" x14ac:dyDescent="0.25">
      <c r="A748" s="13"/>
      <c r="B748" s="14"/>
      <c r="C748" s="39"/>
      <c r="D748" s="39"/>
      <c r="E748" s="36" t="str">
        <f>IF(SUM(C748:D748)=0," ",SUM(C748:D748))</f>
        <v xml:space="preserve"> </v>
      </c>
      <c r="F748" s="14"/>
      <c r="G748" s="120" t="e">
        <f>VLOOKUP($B748,Information!$C$8:$F$15,4,FALSE)</f>
        <v>#N/A</v>
      </c>
      <c r="H748" s="210" t="str">
        <f>TEXT(A748,"ddd")</f>
        <v>Sat</v>
      </c>
    </row>
    <row r="749" spans="1:8" x14ac:dyDescent="0.25">
      <c r="A749" s="13"/>
      <c r="B749" s="14"/>
      <c r="C749" s="39"/>
      <c r="D749" s="39"/>
      <c r="E749" s="36" t="str">
        <f>IF(SUM(C749:D749)=0," ",SUM(C749:D749))</f>
        <v xml:space="preserve"> </v>
      </c>
      <c r="F749" s="14"/>
      <c r="G749" s="120" t="e">
        <f>VLOOKUP($B749,Information!$C$8:$F$15,4,FALSE)</f>
        <v>#N/A</v>
      </c>
      <c r="H749" s="210" t="str">
        <f>TEXT(A749,"ddd")</f>
        <v>Sat</v>
      </c>
    </row>
    <row r="750" spans="1:8" x14ac:dyDescent="0.25">
      <c r="A750" s="13"/>
      <c r="B750" s="14"/>
      <c r="C750" s="39"/>
      <c r="D750" s="39"/>
      <c r="E750" s="36" t="str">
        <f>IF(SUM(C750:D750)=0," ",SUM(C750:D750))</f>
        <v xml:space="preserve"> </v>
      </c>
      <c r="F750" s="14"/>
      <c r="G750" s="120" t="e">
        <f>VLOOKUP($B750,Information!$C$8:$F$15,4,FALSE)</f>
        <v>#N/A</v>
      </c>
      <c r="H750" s="210" t="str">
        <f>TEXT(A750,"ddd")</f>
        <v>Sat</v>
      </c>
    </row>
    <row r="751" spans="1:8" x14ac:dyDescent="0.25">
      <c r="A751" s="13"/>
      <c r="B751" s="14"/>
      <c r="C751" s="39"/>
      <c r="D751" s="39"/>
      <c r="E751" s="36" t="str">
        <f>IF(SUM(C751:D751)=0," ",SUM(C751:D751))</f>
        <v xml:space="preserve"> </v>
      </c>
      <c r="F751" s="14"/>
      <c r="G751" s="120" t="e">
        <f>VLOOKUP($B751,Information!$C$8:$F$15,4,FALSE)</f>
        <v>#N/A</v>
      </c>
      <c r="H751" s="210" t="str">
        <f>TEXT(A751,"ddd")</f>
        <v>Sat</v>
      </c>
    </row>
    <row r="752" spans="1:8" x14ac:dyDescent="0.25">
      <c r="A752" s="13"/>
      <c r="B752" s="14"/>
      <c r="C752" s="39"/>
      <c r="D752" s="39"/>
      <c r="E752" s="36" t="str">
        <f>IF(SUM(C752:D752)=0," ",SUM(C752:D752))</f>
        <v xml:space="preserve"> </v>
      </c>
      <c r="F752" s="14"/>
      <c r="G752" s="120" t="e">
        <f>VLOOKUP($B752,Information!$C$8:$F$15,4,FALSE)</f>
        <v>#N/A</v>
      </c>
      <c r="H752" s="210" t="str">
        <f>TEXT(A752,"ddd")</f>
        <v>Sat</v>
      </c>
    </row>
    <row r="753" spans="1:8" x14ac:dyDescent="0.25">
      <c r="A753" s="13"/>
      <c r="B753" s="14"/>
      <c r="C753" s="39"/>
      <c r="D753" s="39"/>
      <c r="E753" s="36" t="str">
        <f>IF(SUM(C753:D753)=0," ",SUM(C753:D753))</f>
        <v xml:space="preserve"> </v>
      </c>
      <c r="F753" s="14"/>
      <c r="G753" s="120" t="e">
        <f>VLOOKUP($B753,Information!$C$8:$F$15,4,FALSE)</f>
        <v>#N/A</v>
      </c>
      <c r="H753" s="210" t="str">
        <f>TEXT(A753,"ddd")</f>
        <v>Sat</v>
      </c>
    </row>
    <row r="754" spans="1:8" x14ac:dyDescent="0.25">
      <c r="A754" s="13"/>
      <c r="B754" s="14"/>
      <c r="C754" s="39"/>
      <c r="D754" s="39"/>
      <c r="E754" s="36" t="str">
        <f>IF(SUM(C754:D754)=0," ",SUM(C754:D754))</f>
        <v xml:space="preserve"> </v>
      </c>
      <c r="F754" s="14"/>
      <c r="G754" s="120" t="e">
        <f>VLOOKUP($B754,Information!$C$8:$F$15,4,FALSE)</f>
        <v>#N/A</v>
      </c>
      <c r="H754" s="210" t="str">
        <f>TEXT(A754,"ddd")</f>
        <v>Sat</v>
      </c>
    </row>
    <row r="755" spans="1:8" x14ac:dyDescent="0.25">
      <c r="A755" s="13"/>
      <c r="B755" s="14"/>
      <c r="C755" s="39"/>
      <c r="D755" s="39"/>
      <c r="E755" s="36" t="str">
        <f>IF(SUM(C755:D755)=0," ",SUM(C755:D755))</f>
        <v xml:space="preserve"> </v>
      </c>
      <c r="F755" s="14"/>
      <c r="G755" s="120" t="e">
        <f>VLOOKUP($B755,Information!$C$8:$F$15,4,FALSE)</f>
        <v>#N/A</v>
      </c>
      <c r="H755" s="210" t="str">
        <f>TEXT(A755,"ddd")</f>
        <v>Sat</v>
      </c>
    </row>
    <row r="756" spans="1:8" x14ac:dyDescent="0.25">
      <c r="A756" s="13"/>
      <c r="B756" s="14"/>
      <c r="C756" s="39"/>
      <c r="D756" s="39"/>
      <c r="E756" s="36" t="str">
        <f>IF(SUM(C756:D756)=0," ",SUM(C756:D756))</f>
        <v xml:space="preserve"> </v>
      </c>
      <c r="F756" s="14"/>
      <c r="G756" s="120" t="e">
        <f>VLOOKUP($B756,Information!$C$8:$F$15,4,FALSE)</f>
        <v>#N/A</v>
      </c>
      <c r="H756" s="210" t="str">
        <f>TEXT(A756,"ddd")</f>
        <v>Sat</v>
      </c>
    </row>
    <row r="757" spans="1:8" x14ac:dyDescent="0.25">
      <c r="A757" s="13"/>
      <c r="B757" s="14"/>
      <c r="C757" s="39"/>
      <c r="D757" s="39"/>
      <c r="E757" s="36" t="str">
        <f>IF(SUM(C757:D757)=0," ",SUM(C757:D757))</f>
        <v xml:space="preserve"> </v>
      </c>
      <c r="F757" s="14"/>
      <c r="G757" s="120" t="e">
        <f>VLOOKUP($B757,Information!$C$8:$F$15,4,FALSE)</f>
        <v>#N/A</v>
      </c>
      <c r="H757" s="210" t="str">
        <f>TEXT(A757,"ddd")</f>
        <v>Sat</v>
      </c>
    </row>
    <row r="758" spans="1:8" x14ac:dyDescent="0.25">
      <c r="A758" s="13"/>
      <c r="B758" s="14"/>
      <c r="C758" s="39"/>
      <c r="D758" s="39"/>
      <c r="E758" s="36" t="str">
        <f>IF(SUM(C758:D758)=0," ",SUM(C758:D758))</f>
        <v xml:space="preserve"> </v>
      </c>
      <c r="F758" s="14"/>
      <c r="G758" s="120" t="e">
        <f>VLOOKUP($B758,Information!$C$8:$F$15,4,FALSE)</f>
        <v>#N/A</v>
      </c>
      <c r="H758" s="210" t="str">
        <f>TEXT(A758,"ddd")</f>
        <v>Sat</v>
      </c>
    </row>
    <row r="759" spans="1:8" x14ac:dyDescent="0.25">
      <c r="A759" s="13"/>
      <c r="B759" s="14"/>
      <c r="C759" s="39"/>
      <c r="D759" s="39"/>
      <c r="E759" s="36" t="str">
        <f>IF(SUM(C759:D759)=0," ",SUM(C759:D759))</f>
        <v xml:space="preserve"> </v>
      </c>
      <c r="F759" s="14"/>
      <c r="G759" s="120" t="e">
        <f>VLOOKUP($B759,Information!$C$8:$F$15,4,FALSE)</f>
        <v>#N/A</v>
      </c>
      <c r="H759" s="210" t="str">
        <f>TEXT(A759,"ddd")</f>
        <v>Sat</v>
      </c>
    </row>
    <row r="760" spans="1:8" x14ac:dyDescent="0.25">
      <c r="A760" s="13"/>
      <c r="B760" s="14"/>
      <c r="C760" s="39"/>
      <c r="D760" s="39"/>
      <c r="E760" s="36" t="str">
        <f>IF(SUM(C760:D760)=0," ",SUM(C760:D760))</f>
        <v xml:space="preserve"> </v>
      </c>
      <c r="F760" s="14"/>
      <c r="G760" s="120" t="e">
        <f>VLOOKUP($B760,Information!$C$8:$F$15,4,FALSE)</f>
        <v>#N/A</v>
      </c>
      <c r="H760" s="210" t="str">
        <f>TEXT(A760,"ddd")</f>
        <v>Sat</v>
      </c>
    </row>
    <row r="761" spans="1:8" x14ac:dyDescent="0.25">
      <c r="A761" s="13"/>
      <c r="B761" s="14"/>
      <c r="C761" s="39"/>
      <c r="D761" s="39"/>
      <c r="E761" s="36" t="str">
        <f>IF(SUM(C761:D761)=0," ",SUM(C761:D761))</f>
        <v xml:space="preserve"> </v>
      </c>
      <c r="F761" s="14"/>
      <c r="G761" s="120" t="e">
        <f>VLOOKUP($B761,Information!$C$8:$F$15,4,FALSE)</f>
        <v>#N/A</v>
      </c>
      <c r="H761" s="210" t="str">
        <f>TEXT(A761,"ddd")</f>
        <v>Sat</v>
      </c>
    </row>
    <row r="762" spans="1:8" x14ac:dyDescent="0.25">
      <c r="A762" s="13"/>
      <c r="B762" s="14"/>
      <c r="C762" s="39"/>
      <c r="D762" s="39"/>
      <c r="E762" s="36" t="str">
        <f>IF(SUM(C762:D762)=0," ",SUM(C762:D762))</f>
        <v xml:space="preserve"> </v>
      </c>
      <c r="F762" s="14"/>
      <c r="G762" s="120" t="e">
        <f>VLOOKUP($B762,Information!$C$8:$F$15,4,FALSE)</f>
        <v>#N/A</v>
      </c>
      <c r="H762" s="210" t="str">
        <f>TEXT(A762,"ddd")</f>
        <v>Sat</v>
      </c>
    </row>
    <row r="763" spans="1:8" x14ac:dyDescent="0.25">
      <c r="A763" s="13"/>
      <c r="B763" s="14"/>
      <c r="C763" s="39"/>
      <c r="D763" s="39"/>
      <c r="E763" s="36" t="str">
        <f>IF(SUM(C763:D763)=0," ",SUM(C763:D763))</f>
        <v xml:space="preserve"> </v>
      </c>
      <c r="F763" s="14"/>
      <c r="G763" s="120" t="e">
        <f>VLOOKUP($B763,Information!$C$8:$F$15,4,FALSE)</f>
        <v>#N/A</v>
      </c>
      <c r="H763" s="210" t="str">
        <f>TEXT(A763,"ddd")</f>
        <v>Sat</v>
      </c>
    </row>
    <row r="764" spans="1:8" x14ac:dyDescent="0.25">
      <c r="A764" s="13"/>
      <c r="B764" s="14"/>
      <c r="C764" s="39"/>
      <c r="D764" s="39"/>
      <c r="E764" s="36" t="str">
        <f>IF(SUM(C764:D764)=0," ",SUM(C764:D764))</f>
        <v xml:space="preserve"> </v>
      </c>
      <c r="F764" s="14"/>
      <c r="G764" s="120" t="e">
        <f>VLOOKUP($B764,Information!$C$8:$F$15,4,FALSE)</f>
        <v>#N/A</v>
      </c>
      <c r="H764" s="210" t="str">
        <f>TEXT(A764,"ddd")</f>
        <v>Sat</v>
      </c>
    </row>
    <row r="765" spans="1:8" x14ac:dyDescent="0.25">
      <c r="A765" s="13"/>
      <c r="B765" s="14"/>
      <c r="C765" s="39"/>
      <c r="D765" s="39"/>
      <c r="E765" s="36" t="str">
        <f>IF(SUM(C765:D765)=0," ",SUM(C765:D765))</f>
        <v xml:space="preserve"> </v>
      </c>
      <c r="F765" s="14"/>
      <c r="G765" s="120" t="e">
        <f>VLOOKUP($B765,Information!$C$8:$F$15,4,FALSE)</f>
        <v>#N/A</v>
      </c>
      <c r="H765" s="210" t="str">
        <f>TEXT(A765,"ddd")</f>
        <v>Sat</v>
      </c>
    </row>
    <row r="766" spans="1:8" x14ac:dyDescent="0.25">
      <c r="A766" s="13"/>
      <c r="B766" s="14"/>
      <c r="C766" s="39"/>
      <c r="D766" s="39"/>
      <c r="E766" s="36" t="str">
        <f>IF(SUM(C766:D766)=0," ",SUM(C766:D766))</f>
        <v xml:space="preserve"> </v>
      </c>
      <c r="F766" s="14"/>
      <c r="G766" s="120" t="e">
        <f>VLOOKUP($B766,Information!$C$8:$F$15,4,FALSE)</f>
        <v>#N/A</v>
      </c>
      <c r="H766" s="210" t="str">
        <f>TEXT(A766,"ddd")</f>
        <v>Sat</v>
      </c>
    </row>
    <row r="767" spans="1:8" x14ac:dyDescent="0.25">
      <c r="A767" s="13"/>
      <c r="B767" s="14"/>
      <c r="C767" s="39"/>
      <c r="D767" s="39"/>
      <c r="E767" s="36" t="str">
        <f>IF(SUM(C767:D767)=0," ",SUM(C767:D767))</f>
        <v xml:space="preserve"> </v>
      </c>
      <c r="F767" s="14"/>
      <c r="G767" s="120" t="e">
        <f>VLOOKUP($B767,Information!$C$8:$F$15,4,FALSE)</f>
        <v>#N/A</v>
      </c>
      <c r="H767" s="210" t="str">
        <f>TEXT(A767,"ddd")</f>
        <v>Sat</v>
      </c>
    </row>
    <row r="768" spans="1:8" x14ac:dyDescent="0.25">
      <c r="A768" s="13"/>
      <c r="B768" s="14"/>
      <c r="C768" s="39"/>
      <c r="D768" s="39"/>
      <c r="E768" s="36" t="str">
        <f>IF(SUM(C768:D768)=0," ",SUM(C768:D768))</f>
        <v xml:space="preserve"> </v>
      </c>
      <c r="F768" s="14"/>
      <c r="G768" s="120" t="e">
        <f>VLOOKUP($B768,Information!$C$8:$F$15,4,FALSE)</f>
        <v>#N/A</v>
      </c>
      <c r="H768" s="210" t="str">
        <f>TEXT(A768,"ddd")</f>
        <v>Sat</v>
      </c>
    </row>
    <row r="769" spans="1:8" x14ac:dyDescent="0.25">
      <c r="A769" s="13"/>
      <c r="B769" s="14"/>
      <c r="C769" s="39"/>
      <c r="D769" s="39"/>
      <c r="E769" s="36" t="str">
        <f>IF(SUM(C769:D769)=0," ",SUM(C769:D769))</f>
        <v xml:space="preserve"> </v>
      </c>
      <c r="F769" s="14"/>
      <c r="G769" s="120" t="e">
        <f>VLOOKUP($B769,Information!$C$8:$F$15,4,FALSE)</f>
        <v>#N/A</v>
      </c>
      <c r="H769" s="210" t="str">
        <f>TEXT(A769,"ddd")</f>
        <v>Sat</v>
      </c>
    </row>
    <row r="770" spans="1:8" x14ac:dyDescent="0.25">
      <c r="A770" s="13"/>
      <c r="B770" s="14"/>
      <c r="C770" s="39"/>
      <c r="D770" s="39"/>
      <c r="E770" s="36" t="str">
        <f>IF(SUM(C770:D770)=0," ",SUM(C770:D770))</f>
        <v xml:space="preserve"> </v>
      </c>
      <c r="F770" s="14"/>
      <c r="G770" s="120" t="e">
        <f>VLOOKUP($B770,Information!$C$8:$F$15,4,FALSE)</f>
        <v>#N/A</v>
      </c>
      <c r="H770" s="210" t="str">
        <f>TEXT(A770,"ddd")</f>
        <v>Sat</v>
      </c>
    </row>
    <row r="771" spans="1:8" x14ac:dyDescent="0.25">
      <c r="A771" s="13"/>
      <c r="B771" s="14"/>
      <c r="C771" s="39"/>
      <c r="D771" s="39"/>
      <c r="E771" s="36" t="str">
        <f>IF(SUM(C771:D771)=0," ",SUM(C771:D771))</f>
        <v xml:space="preserve"> </v>
      </c>
      <c r="F771" s="14"/>
      <c r="G771" s="120" t="e">
        <f>VLOOKUP($B771,Information!$C$8:$F$15,4,FALSE)</f>
        <v>#N/A</v>
      </c>
      <c r="H771" s="210" t="str">
        <f>TEXT(A771,"ddd")</f>
        <v>Sat</v>
      </c>
    </row>
    <row r="772" spans="1:8" x14ac:dyDescent="0.25">
      <c r="A772" s="13"/>
      <c r="B772" s="14"/>
      <c r="C772" s="39"/>
      <c r="D772" s="39"/>
      <c r="E772" s="36" t="str">
        <f>IF(SUM(C772:D772)=0," ",SUM(C772:D772))</f>
        <v xml:space="preserve"> </v>
      </c>
      <c r="F772" s="14"/>
      <c r="G772" s="120" t="e">
        <f>VLOOKUP($B772,Information!$C$8:$F$15,4,FALSE)</f>
        <v>#N/A</v>
      </c>
      <c r="H772" s="210" t="str">
        <f>TEXT(A772,"ddd")</f>
        <v>Sat</v>
      </c>
    </row>
    <row r="773" spans="1:8" x14ac:dyDescent="0.25">
      <c r="A773" s="13"/>
      <c r="B773" s="14"/>
      <c r="C773" s="39"/>
      <c r="D773" s="39"/>
      <c r="E773" s="36" t="str">
        <f>IF(SUM(C773:D773)=0," ",SUM(C773:D773))</f>
        <v xml:space="preserve"> </v>
      </c>
      <c r="F773" s="14"/>
      <c r="G773" s="120" t="e">
        <f>VLOOKUP($B773,Information!$C$8:$F$15,4,FALSE)</f>
        <v>#N/A</v>
      </c>
      <c r="H773" s="210" t="str">
        <f>TEXT(A773,"ddd")</f>
        <v>Sat</v>
      </c>
    </row>
    <row r="774" spans="1:8" x14ac:dyDescent="0.25">
      <c r="A774" s="13"/>
      <c r="B774" s="14"/>
      <c r="C774" s="39"/>
      <c r="D774" s="39"/>
      <c r="E774" s="36" t="str">
        <f>IF(SUM(C774:D774)=0," ",SUM(C774:D774))</f>
        <v xml:space="preserve"> </v>
      </c>
      <c r="F774" s="14"/>
      <c r="G774" s="120" t="e">
        <f>VLOOKUP($B774,Information!$C$8:$F$15,4,FALSE)</f>
        <v>#N/A</v>
      </c>
      <c r="H774" s="210" t="str">
        <f>TEXT(A774,"ddd")</f>
        <v>Sat</v>
      </c>
    </row>
    <row r="775" spans="1:8" x14ac:dyDescent="0.25">
      <c r="A775" s="13"/>
      <c r="B775" s="14"/>
      <c r="C775" s="39"/>
      <c r="D775" s="39"/>
      <c r="E775" s="36" t="str">
        <f>IF(SUM(C775:D775)=0," ",SUM(C775:D775))</f>
        <v xml:space="preserve"> </v>
      </c>
      <c r="F775" s="14"/>
      <c r="G775" s="120" t="e">
        <f>VLOOKUP($B775,Information!$C$8:$F$15,4,FALSE)</f>
        <v>#N/A</v>
      </c>
      <c r="H775" s="210" t="str">
        <f>TEXT(A775,"ddd")</f>
        <v>Sat</v>
      </c>
    </row>
    <row r="776" spans="1:8" x14ac:dyDescent="0.25">
      <c r="A776" s="13"/>
      <c r="B776" s="14"/>
      <c r="C776" s="39"/>
      <c r="D776" s="39"/>
      <c r="E776" s="36" t="str">
        <f>IF(SUM(C776:D776)=0," ",SUM(C776:D776))</f>
        <v xml:space="preserve"> </v>
      </c>
      <c r="F776" s="14"/>
      <c r="G776" s="120" t="e">
        <f>VLOOKUP($B776,Information!$C$8:$F$15,4,FALSE)</f>
        <v>#N/A</v>
      </c>
      <c r="H776" s="210" t="str">
        <f>TEXT(A776,"ddd")</f>
        <v>Sat</v>
      </c>
    </row>
    <row r="777" spans="1:8" x14ac:dyDescent="0.25">
      <c r="A777" s="13"/>
      <c r="B777" s="14"/>
      <c r="C777" s="39"/>
      <c r="D777" s="39"/>
      <c r="E777" s="36" t="str">
        <f>IF(SUM(C777:D777)=0," ",SUM(C777:D777))</f>
        <v xml:space="preserve"> </v>
      </c>
      <c r="F777" s="14"/>
      <c r="G777" s="120" t="e">
        <f>VLOOKUP($B777,Information!$C$8:$F$15,4,FALSE)</f>
        <v>#N/A</v>
      </c>
      <c r="H777" s="210" t="str">
        <f>TEXT(A777,"ddd")</f>
        <v>Sat</v>
      </c>
    </row>
    <row r="778" spans="1:8" x14ac:dyDescent="0.25">
      <c r="A778" s="13"/>
      <c r="B778" s="14"/>
      <c r="C778" s="39"/>
      <c r="D778" s="39"/>
      <c r="E778" s="36" t="str">
        <f>IF(SUM(C778:D778)=0," ",SUM(C778:D778))</f>
        <v xml:space="preserve"> </v>
      </c>
      <c r="F778" s="14"/>
      <c r="G778" s="120" t="e">
        <f>VLOOKUP($B778,Information!$C$8:$F$15,4,FALSE)</f>
        <v>#N/A</v>
      </c>
      <c r="H778" s="210" t="str">
        <f>TEXT(A778,"ddd")</f>
        <v>Sat</v>
      </c>
    </row>
    <row r="779" spans="1:8" x14ac:dyDescent="0.25">
      <c r="A779" s="13"/>
      <c r="B779" s="14"/>
      <c r="C779" s="39"/>
      <c r="D779" s="39"/>
      <c r="E779" s="36" t="str">
        <f>IF(SUM(C779:D779)=0," ",SUM(C779:D779))</f>
        <v xml:space="preserve"> </v>
      </c>
      <c r="F779" s="14"/>
      <c r="G779" s="120" t="e">
        <f>VLOOKUP($B779,Information!$C$8:$F$15,4,FALSE)</f>
        <v>#N/A</v>
      </c>
      <c r="H779" s="210" t="str">
        <f>TEXT(A779,"ddd")</f>
        <v>Sat</v>
      </c>
    </row>
    <row r="780" spans="1:8" x14ac:dyDescent="0.25">
      <c r="A780" s="13"/>
      <c r="B780" s="14"/>
      <c r="C780" s="39"/>
      <c r="D780" s="39"/>
      <c r="E780" s="36" t="str">
        <f>IF(SUM(C780:D780)=0," ",SUM(C780:D780))</f>
        <v xml:space="preserve"> </v>
      </c>
      <c r="F780" s="14"/>
      <c r="G780" s="120" t="e">
        <f>VLOOKUP($B780,Information!$C$8:$F$15,4,FALSE)</f>
        <v>#N/A</v>
      </c>
      <c r="H780" s="210" t="str">
        <f>TEXT(A780,"ddd")</f>
        <v>Sat</v>
      </c>
    </row>
    <row r="781" spans="1:8" x14ac:dyDescent="0.25">
      <c r="A781" s="13"/>
      <c r="B781" s="14"/>
      <c r="C781" s="39"/>
      <c r="D781" s="39"/>
      <c r="E781" s="36" t="str">
        <f>IF(SUM(C781:D781)=0," ",SUM(C781:D781))</f>
        <v xml:space="preserve"> </v>
      </c>
      <c r="F781" s="14"/>
      <c r="G781" s="120" t="e">
        <f>VLOOKUP($B781,Information!$C$8:$F$15,4,FALSE)</f>
        <v>#N/A</v>
      </c>
      <c r="H781" s="210" t="str">
        <f>TEXT(A781,"ddd")</f>
        <v>Sat</v>
      </c>
    </row>
    <row r="782" spans="1:8" x14ac:dyDescent="0.25">
      <c r="A782" s="13"/>
      <c r="B782" s="14"/>
      <c r="C782" s="39"/>
      <c r="D782" s="39"/>
      <c r="E782" s="36" t="str">
        <f>IF(SUM(C782:D782)=0," ",SUM(C782:D782))</f>
        <v xml:space="preserve"> </v>
      </c>
      <c r="F782" s="14"/>
      <c r="G782" s="120" t="e">
        <f>VLOOKUP($B782,Information!$C$8:$F$15,4,FALSE)</f>
        <v>#N/A</v>
      </c>
      <c r="H782" s="210" t="str">
        <f>TEXT(A782,"ddd")</f>
        <v>Sat</v>
      </c>
    </row>
    <row r="783" spans="1:8" ht="13.8" customHeight="1" x14ac:dyDescent="0.25">
      <c r="A783" s="13"/>
      <c r="B783" s="14"/>
      <c r="C783" s="39"/>
      <c r="D783" s="39"/>
      <c r="E783" s="36" t="str">
        <f>IF(SUM(C783:D783)=0," ",SUM(C783:D783))</f>
        <v xml:space="preserve"> </v>
      </c>
      <c r="F783" s="14"/>
      <c r="G783" s="120" t="e">
        <f>VLOOKUP($B783,Information!$C$8:$F$15,4,FALSE)</f>
        <v>#N/A</v>
      </c>
      <c r="H783" s="210" t="str">
        <f>TEXT(A783,"ddd")</f>
        <v>Sat</v>
      </c>
    </row>
    <row r="784" spans="1:8" ht="13.8" customHeight="1" x14ac:dyDescent="0.25">
      <c r="A784" s="13"/>
      <c r="B784" s="14"/>
      <c r="C784" s="39"/>
      <c r="D784" s="39"/>
      <c r="E784" s="36" t="str">
        <f>IF(SUM(C784:D784)=0," ",SUM(C784:D784))</f>
        <v xml:space="preserve"> </v>
      </c>
      <c r="F784" s="14"/>
      <c r="G784" s="120" t="e">
        <f>VLOOKUP($B784,Information!$C$8:$F$15,4,FALSE)</f>
        <v>#N/A</v>
      </c>
      <c r="H784" s="210" t="str">
        <f>TEXT(A784,"ddd")</f>
        <v>Sat</v>
      </c>
    </row>
    <row r="785" spans="1:8" x14ac:dyDescent="0.25">
      <c r="A785" s="13"/>
      <c r="B785" s="14"/>
      <c r="C785" s="39"/>
      <c r="D785" s="39"/>
      <c r="E785" s="36" t="str">
        <f>IF(SUM(C785:D785)=0," ",SUM(C785:D785))</f>
        <v xml:space="preserve"> </v>
      </c>
      <c r="F785" s="14"/>
      <c r="G785" s="120" t="e">
        <f>VLOOKUP($B785,Information!$C$8:$F$15,4,FALSE)</f>
        <v>#N/A</v>
      </c>
      <c r="H785" s="210" t="str">
        <f>TEXT(A785,"ddd")</f>
        <v>Sat</v>
      </c>
    </row>
    <row r="786" spans="1:8" x14ac:dyDescent="0.25">
      <c r="A786" s="13"/>
      <c r="B786" s="14"/>
      <c r="C786" s="39"/>
      <c r="D786" s="39"/>
      <c r="E786" s="36" t="str">
        <f>IF(SUM(C786:D786)=0," ",SUM(C786:D786))</f>
        <v xml:space="preserve"> </v>
      </c>
      <c r="F786" s="14"/>
      <c r="G786" s="120" t="e">
        <f>VLOOKUP($B786,Information!$C$8:$F$15,4,FALSE)</f>
        <v>#N/A</v>
      </c>
      <c r="H786" s="210" t="str">
        <f>TEXT(A786,"ddd")</f>
        <v>Sat</v>
      </c>
    </row>
    <row r="787" spans="1:8" x14ac:dyDescent="0.25">
      <c r="A787" s="13"/>
      <c r="B787" s="14"/>
      <c r="C787" s="39"/>
      <c r="D787" s="39"/>
      <c r="E787" s="36" t="str">
        <f>IF(SUM(C787:D787)=0," ",SUM(C787:D787))</f>
        <v xml:space="preserve"> </v>
      </c>
      <c r="F787" s="14"/>
      <c r="G787" s="120" t="e">
        <f>VLOOKUP($B787,Information!$C$8:$F$15,4,FALSE)</f>
        <v>#N/A</v>
      </c>
      <c r="H787" s="210" t="str">
        <f>TEXT(A787,"ddd")</f>
        <v>Sat</v>
      </c>
    </row>
    <row r="788" spans="1:8" x14ac:dyDescent="0.25">
      <c r="A788" s="13"/>
      <c r="B788" s="14"/>
      <c r="C788" s="39"/>
      <c r="D788" s="39"/>
      <c r="E788" s="36" t="str">
        <f>IF(SUM(C788:D788)=0," ",SUM(C788:D788))</f>
        <v xml:space="preserve"> </v>
      </c>
      <c r="F788" s="14"/>
      <c r="G788" s="120" t="e">
        <f>VLOOKUP($B788,Information!$C$8:$F$15,4,FALSE)</f>
        <v>#N/A</v>
      </c>
      <c r="H788" s="210" t="str">
        <f>TEXT(A788,"ddd")</f>
        <v>Sat</v>
      </c>
    </row>
    <row r="789" spans="1:8" x14ac:dyDescent="0.25">
      <c r="A789" s="13"/>
      <c r="B789" s="14"/>
      <c r="C789" s="39"/>
      <c r="D789" s="39"/>
      <c r="E789" s="36" t="str">
        <f>IF(SUM(C789:D789)=0," ",SUM(C789:D789))</f>
        <v xml:space="preserve"> </v>
      </c>
      <c r="F789" s="14"/>
      <c r="G789" s="120" t="e">
        <f>VLOOKUP($B789,Information!$C$8:$F$15,4,FALSE)</f>
        <v>#N/A</v>
      </c>
      <c r="H789" s="210" t="str">
        <f>TEXT(A789,"ddd")</f>
        <v>Sat</v>
      </c>
    </row>
    <row r="790" spans="1:8" x14ac:dyDescent="0.25">
      <c r="A790" s="13"/>
      <c r="B790" s="14"/>
      <c r="C790" s="39"/>
      <c r="D790" s="39"/>
      <c r="E790" s="36" t="str">
        <f>IF(SUM(C790:D790)=0," ",SUM(C790:D790))</f>
        <v xml:space="preserve"> </v>
      </c>
      <c r="F790" s="14"/>
      <c r="G790" s="120" t="e">
        <f>VLOOKUP($B790,Information!$C$8:$F$15,4,FALSE)</f>
        <v>#N/A</v>
      </c>
      <c r="H790" s="210" t="str">
        <f>TEXT(A790,"ddd")</f>
        <v>Sat</v>
      </c>
    </row>
    <row r="791" spans="1:8" x14ac:dyDescent="0.25">
      <c r="A791" s="13"/>
      <c r="B791" s="14"/>
      <c r="C791" s="39"/>
      <c r="D791" s="39"/>
      <c r="E791" s="36" t="str">
        <f>IF(SUM(C791:D791)=0," ",SUM(C791:D791))</f>
        <v xml:space="preserve"> </v>
      </c>
      <c r="F791" s="14"/>
      <c r="G791" s="120" t="e">
        <f>VLOOKUP($B791,Information!$C$8:$F$15,4,FALSE)</f>
        <v>#N/A</v>
      </c>
      <c r="H791" s="210" t="str">
        <f>TEXT(A791,"ddd")</f>
        <v>Sat</v>
      </c>
    </row>
    <row r="792" spans="1:8" x14ac:dyDescent="0.25">
      <c r="A792" s="13"/>
      <c r="B792" s="14"/>
      <c r="C792" s="39"/>
      <c r="D792" s="39"/>
      <c r="E792" s="36" t="str">
        <f>IF(SUM(C792:D792)=0," ",SUM(C792:D792))</f>
        <v xml:space="preserve"> </v>
      </c>
      <c r="F792" s="14"/>
      <c r="G792" s="120" t="e">
        <f>VLOOKUP($B792,Information!$C$8:$F$15,4,FALSE)</f>
        <v>#N/A</v>
      </c>
      <c r="H792" s="210" t="str">
        <f>TEXT(A792,"ddd")</f>
        <v>Sat</v>
      </c>
    </row>
    <row r="793" spans="1:8" x14ac:dyDescent="0.25">
      <c r="A793" s="13"/>
      <c r="B793" s="14"/>
      <c r="C793" s="39"/>
      <c r="D793" s="39"/>
      <c r="E793" s="36" t="str">
        <f>IF(SUM(C793:D793)=0," ",SUM(C793:D793))</f>
        <v xml:space="preserve"> </v>
      </c>
      <c r="F793" s="14"/>
      <c r="G793" s="120" t="e">
        <f>VLOOKUP($B793,Information!$C$8:$F$15,4,FALSE)</f>
        <v>#N/A</v>
      </c>
      <c r="H793" s="210" t="str">
        <f>TEXT(A793,"ddd")</f>
        <v>Sat</v>
      </c>
    </row>
    <row r="794" spans="1:8" x14ac:dyDescent="0.25">
      <c r="A794" s="13"/>
      <c r="B794" s="14"/>
      <c r="C794" s="39"/>
      <c r="D794" s="39"/>
      <c r="E794" s="36" t="str">
        <f>IF(SUM(C794:D794)=0," ",SUM(C794:D794))</f>
        <v xml:space="preserve"> </v>
      </c>
      <c r="F794" s="14"/>
      <c r="G794" s="120" t="e">
        <f>VLOOKUP($B794,Information!$C$8:$F$15,4,FALSE)</f>
        <v>#N/A</v>
      </c>
      <c r="H794" s="210" t="str">
        <f>TEXT(A794,"ddd")</f>
        <v>Sat</v>
      </c>
    </row>
    <row r="795" spans="1:8" x14ac:dyDescent="0.25">
      <c r="A795" s="13"/>
      <c r="B795" s="14"/>
      <c r="C795" s="39"/>
      <c r="D795" s="39"/>
      <c r="E795" s="36" t="str">
        <f>IF(SUM(C795:D795)=0," ",SUM(C795:D795))</f>
        <v xml:space="preserve"> </v>
      </c>
      <c r="F795" s="14"/>
      <c r="G795" s="120" t="e">
        <f>VLOOKUP($B795,Information!$C$8:$F$15,4,FALSE)</f>
        <v>#N/A</v>
      </c>
      <c r="H795" s="210" t="str">
        <f>TEXT(A795,"ddd")</f>
        <v>Sat</v>
      </c>
    </row>
    <row r="796" spans="1:8" x14ac:dyDescent="0.25">
      <c r="A796" s="13"/>
      <c r="B796" s="14"/>
      <c r="C796" s="39"/>
      <c r="D796" s="39"/>
      <c r="E796" s="36" t="str">
        <f>IF(SUM(C796:D796)=0," ",SUM(C796:D796))</f>
        <v xml:space="preserve"> </v>
      </c>
      <c r="F796" s="14"/>
      <c r="G796" s="120" t="e">
        <f>VLOOKUP($B796,Information!$C$8:$F$15,4,FALSE)</f>
        <v>#N/A</v>
      </c>
      <c r="H796" s="210" t="str">
        <f>TEXT(A796,"ddd")</f>
        <v>Sat</v>
      </c>
    </row>
    <row r="797" spans="1:8" x14ac:dyDescent="0.25">
      <c r="A797" s="13"/>
      <c r="B797" s="14"/>
      <c r="C797" s="39"/>
      <c r="D797" s="39"/>
      <c r="E797" s="36" t="str">
        <f>IF(SUM(C797:D797)=0," ",SUM(C797:D797))</f>
        <v xml:space="preserve"> </v>
      </c>
      <c r="F797" s="14"/>
      <c r="G797" s="120" t="e">
        <f>VLOOKUP($B797,Information!$C$8:$F$15,4,FALSE)</f>
        <v>#N/A</v>
      </c>
      <c r="H797" s="210" t="str">
        <f>TEXT(A797,"ddd")</f>
        <v>Sat</v>
      </c>
    </row>
    <row r="798" spans="1:8" x14ac:dyDescent="0.25">
      <c r="A798" s="13"/>
      <c r="B798" s="14"/>
      <c r="C798" s="39"/>
      <c r="D798" s="39"/>
      <c r="E798" s="36" t="str">
        <f>IF(SUM(C798:D798)=0," ",SUM(C798:D798))</f>
        <v xml:space="preserve"> </v>
      </c>
      <c r="F798" s="14"/>
      <c r="G798" s="120" t="e">
        <f>VLOOKUP($B798,Information!$C$8:$F$15,4,FALSE)</f>
        <v>#N/A</v>
      </c>
      <c r="H798" s="210" t="str">
        <f>TEXT(A798,"ddd")</f>
        <v>Sat</v>
      </c>
    </row>
    <row r="799" spans="1:8" x14ac:dyDescent="0.25">
      <c r="A799" s="13"/>
      <c r="B799" s="14"/>
      <c r="C799" s="39"/>
      <c r="D799" s="39"/>
      <c r="E799" s="36" t="str">
        <f>IF(SUM(C799:D799)=0," ",SUM(C799:D799))</f>
        <v xml:space="preserve"> </v>
      </c>
      <c r="F799" s="14"/>
      <c r="G799" s="120" t="e">
        <f>VLOOKUP($B799,Information!$C$8:$F$15,4,FALSE)</f>
        <v>#N/A</v>
      </c>
      <c r="H799" s="210" t="str">
        <f>TEXT(A799,"ddd")</f>
        <v>Sat</v>
      </c>
    </row>
    <row r="800" spans="1:8" x14ac:dyDescent="0.25">
      <c r="A800" s="13"/>
      <c r="B800" s="14"/>
      <c r="C800" s="39"/>
      <c r="D800" s="39"/>
      <c r="E800" s="36" t="str">
        <f>IF(SUM(C800:D800)=0," ",SUM(C800:D800))</f>
        <v xml:space="preserve"> </v>
      </c>
      <c r="F800" s="14"/>
      <c r="G800" s="120" t="e">
        <f>VLOOKUP($B800,Information!$C$8:$F$15,4,FALSE)</f>
        <v>#N/A</v>
      </c>
      <c r="H800" s="210" t="str">
        <f>TEXT(A800,"ddd")</f>
        <v>Sat</v>
      </c>
    </row>
    <row r="801" spans="1:8" x14ac:dyDescent="0.25">
      <c r="A801" s="13"/>
      <c r="B801" s="14"/>
      <c r="C801" s="39"/>
      <c r="D801" s="39"/>
      <c r="E801" s="36" t="str">
        <f>IF(SUM(C801:D801)=0," ",SUM(C801:D801))</f>
        <v xml:space="preserve"> </v>
      </c>
      <c r="F801" s="14"/>
      <c r="G801" s="120" t="e">
        <f>VLOOKUP($B801,Information!$C$8:$F$15,4,FALSE)</f>
        <v>#N/A</v>
      </c>
      <c r="H801" s="210" t="str">
        <f>TEXT(A801,"ddd")</f>
        <v>Sat</v>
      </c>
    </row>
    <row r="802" spans="1:8" x14ac:dyDescent="0.25">
      <c r="A802" s="13"/>
      <c r="B802" s="14"/>
      <c r="C802" s="39"/>
      <c r="D802" s="39"/>
      <c r="E802" s="36" t="str">
        <f>IF(SUM(C802:D802)=0," ",SUM(C802:D802))</f>
        <v xml:space="preserve"> </v>
      </c>
      <c r="F802" s="14"/>
      <c r="G802" s="120" t="e">
        <f>VLOOKUP($B802,Information!$C$8:$F$15,4,FALSE)</f>
        <v>#N/A</v>
      </c>
      <c r="H802" s="210" t="str">
        <f>TEXT(A802,"ddd")</f>
        <v>Sat</v>
      </c>
    </row>
    <row r="803" spans="1:8" x14ac:dyDescent="0.25">
      <c r="A803" s="13"/>
      <c r="B803" s="14"/>
      <c r="C803" s="39"/>
      <c r="D803" s="39"/>
      <c r="E803" s="36" t="str">
        <f>IF(SUM(C803:D803)=0," ",SUM(C803:D803))</f>
        <v xml:space="preserve"> </v>
      </c>
      <c r="F803" s="14"/>
      <c r="G803" s="120" t="e">
        <f>VLOOKUP($B803,Information!$C$8:$F$15,4,FALSE)</f>
        <v>#N/A</v>
      </c>
      <c r="H803" s="210" t="str">
        <f>TEXT(A803,"ddd")</f>
        <v>Sat</v>
      </c>
    </row>
    <row r="804" spans="1:8" x14ac:dyDescent="0.25">
      <c r="A804" s="13"/>
      <c r="B804" s="14"/>
      <c r="C804" s="39"/>
      <c r="D804" s="39"/>
      <c r="E804" s="36" t="str">
        <f>IF(SUM(C804:D804)=0," ",SUM(C804:D804))</f>
        <v xml:space="preserve"> </v>
      </c>
      <c r="F804" s="14"/>
      <c r="G804" s="120" t="e">
        <f>VLOOKUP($B804,Information!$C$8:$F$15,4,FALSE)</f>
        <v>#N/A</v>
      </c>
      <c r="H804" s="210" t="str">
        <f>TEXT(A804,"ddd")</f>
        <v>Sat</v>
      </c>
    </row>
    <row r="805" spans="1:8" x14ac:dyDescent="0.25">
      <c r="A805" s="13"/>
      <c r="B805" s="14"/>
      <c r="C805" s="39"/>
      <c r="D805" s="39"/>
      <c r="E805" s="36" t="str">
        <f>IF(SUM(C805:D805)=0," ",SUM(C805:D805))</f>
        <v xml:space="preserve"> </v>
      </c>
      <c r="F805" s="14"/>
      <c r="G805" s="120" t="e">
        <f>VLOOKUP($B805,Information!$C$8:$F$15,4,FALSE)</f>
        <v>#N/A</v>
      </c>
      <c r="H805" s="210" t="str">
        <f>TEXT(A805,"ddd")</f>
        <v>Sat</v>
      </c>
    </row>
    <row r="806" spans="1:8" x14ac:dyDescent="0.25">
      <c r="A806" s="13"/>
      <c r="B806" s="14"/>
      <c r="C806" s="39"/>
      <c r="D806" s="39"/>
      <c r="E806" s="36" t="str">
        <f>IF(SUM(C806:D806)=0," ",SUM(C806:D806))</f>
        <v xml:space="preserve"> </v>
      </c>
      <c r="F806" s="14"/>
      <c r="G806" s="120" t="e">
        <f>VLOOKUP($B806,Information!$C$8:$F$15,4,FALSE)</f>
        <v>#N/A</v>
      </c>
      <c r="H806" s="210" t="str">
        <f>TEXT(A806,"ddd")</f>
        <v>Sat</v>
      </c>
    </row>
    <row r="807" spans="1:8" x14ac:dyDescent="0.25">
      <c r="A807" s="13"/>
      <c r="B807" s="14"/>
      <c r="C807" s="39"/>
      <c r="D807" s="39"/>
      <c r="E807" s="36" t="str">
        <f>IF(SUM(C807:D807)=0," ",SUM(C807:D807))</f>
        <v xml:space="preserve"> </v>
      </c>
      <c r="F807" s="14"/>
      <c r="G807" s="120" t="e">
        <f>VLOOKUP($B807,Information!$C$8:$F$15,4,FALSE)</f>
        <v>#N/A</v>
      </c>
      <c r="H807" s="210" t="str">
        <f>TEXT(A807,"ddd")</f>
        <v>Sat</v>
      </c>
    </row>
    <row r="808" spans="1:8" x14ac:dyDescent="0.25">
      <c r="A808" s="13"/>
      <c r="B808" s="14"/>
      <c r="C808" s="39"/>
      <c r="D808" s="39"/>
      <c r="E808" s="36" t="str">
        <f>IF(SUM(C808:D808)=0," ",SUM(C808:D808))</f>
        <v xml:space="preserve"> </v>
      </c>
      <c r="F808" s="14"/>
      <c r="G808" s="120" t="e">
        <f>VLOOKUP($B808,Information!$C$8:$F$15,4,FALSE)</f>
        <v>#N/A</v>
      </c>
      <c r="H808" s="210" t="str">
        <f>TEXT(A808,"ddd")</f>
        <v>Sat</v>
      </c>
    </row>
    <row r="809" spans="1:8" x14ac:dyDescent="0.25">
      <c r="A809" s="13"/>
      <c r="B809" s="14"/>
      <c r="C809" s="39"/>
      <c r="D809" s="39"/>
      <c r="E809" s="36" t="str">
        <f>IF(SUM(C809:D809)=0," ",SUM(C809:D809))</f>
        <v xml:space="preserve"> </v>
      </c>
      <c r="F809" s="14"/>
      <c r="G809" s="120" t="e">
        <f>VLOOKUP($B809,Information!$C$8:$F$15,4,FALSE)</f>
        <v>#N/A</v>
      </c>
      <c r="H809" s="210" t="str">
        <f>TEXT(A809,"ddd")</f>
        <v>Sat</v>
      </c>
    </row>
    <row r="810" spans="1:8" x14ac:dyDescent="0.25">
      <c r="A810" s="13"/>
      <c r="B810" s="14"/>
      <c r="C810" s="39"/>
      <c r="D810" s="39"/>
      <c r="E810" s="36" t="str">
        <f>IF(SUM(C810:D810)=0," ",SUM(C810:D810))</f>
        <v xml:space="preserve"> </v>
      </c>
      <c r="F810" s="14"/>
      <c r="G810" s="120" t="e">
        <f>VLOOKUP($B810,Information!$C$8:$F$15,4,FALSE)</f>
        <v>#N/A</v>
      </c>
      <c r="H810" s="210" t="str">
        <f>TEXT(A810,"ddd")</f>
        <v>Sat</v>
      </c>
    </row>
    <row r="811" spans="1:8" x14ac:dyDescent="0.25">
      <c r="A811" s="13"/>
      <c r="B811" s="14"/>
      <c r="C811" s="39"/>
      <c r="D811" s="39"/>
      <c r="E811" s="36" t="str">
        <f>IF(SUM(C811:D811)=0," ",SUM(C811:D811))</f>
        <v xml:space="preserve"> </v>
      </c>
      <c r="F811" s="14"/>
      <c r="G811" s="120" t="e">
        <f>VLOOKUP($B811,Information!$C$8:$F$15,4,FALSE)</f>
        <v>#N/A</v>
      </c>
      <c r="H811" s="210" t="str">
        <f>TEXT(A811,"ddd")</f>
        <v>Sat</v>
      </c>
    </row>
    <row r="812" spans="1:8" x14ac:dyDescent="0.25">
      <c r="A812" s="13"/>
      <c r="B812" s="14"/>
      <c r="C812" s="39"/>
      <c r="D812" s="39"/>
      <c r="E812" s="36" t="str">
        <f>IF(SUM(C812:D812)=0," ",SUM(C812:D812))</f>
        <v xml:space="preserve"> </v>
      </c>
      <c r="F812" s="14"/>
      <c r="G812" s="120" t="e">
        <f>VLOOKUP($B812,Information!$C$8:$F$15,4,FALSE)</f>
        <v>#N/A</v>
      </c>
      <c r="H812" s="210" t="str">
        <f>TEXT(A812,"ddd")</f>
        <v>Sat</v>
      </c>
    </row>
    <row r="813" spans="1:8" x14ac:dyDescent="0.25">
      <c r="A813" s="13"/>
      <c r="B813" s="14"/>
      <c r="C813" s="39"/>
      <c r="D813" s="39"/>
      <c r="E813" s="36" t="str">
        <f>IF(SUM(C813:D813)=0," ",SUM(C813:D813))</f>
        <v xml:space="preserve"> </v>
      </c>
      <c r="F813" s="14"/>
      <c r="G813" s="120" t="e">
        <f>VLOOKUP($B813,Information!$C$8:$F$15,4,FALSE)</f>
        <v>#N/A</v>
      </c>
      <c r="H813" s="210" t="str">
        <f>TEXT(A813,"ddd")</f>
        <v>Sat</v>
      </c>
    </row>
    <row r="814" spans="1:8" x14ac:dyDescent="0.25">
      <c r="A814" s="13"/>
      <c r="B814" s="14"/>
      <c r="C814" s="39"/>
      <c r="D814" s="39"/>
      <c r="E814" s="36" t="str">
        <f>IF(SUM(C814:D814)=0," ",SUM(C814:D814))</f>
        <v xml:space="preserve"> </v>
      </c>
      <c r="F814" s="14"/>
      <c r="G814" s="120" t="e">
        <f>VLOOKUP($B814,Information!$C$8:$F$15,4,FALSE)</f>
        <v>#N/A</v>
      </c>
      <c r="H814" s="210" t="str">
        <f>TEXT(A814,"ddd")</f>
        <v>Sat</v>
      </c>
    </row>
    <row r="815" spans="1:8" x14ac:dyDescent="0.25">
      <c r="A815" s="13"/>
      <c r="B815" s="14"/>
      <c r="C815" s="39"/>
      <c r="D815" s="39"/>
      <c r="E815" s="36" t="str">
        <f>IF(SUM(C815:D815)=0," ",SUM(C815:D815))</f>
        <v xml:space="preserve"> </v>
      </c>
      <c r="F815" s="14"/>
      <c r="G815" s="120" t="e">
        <f>VLOOKUP($B815,Information!$C$8:$F$15,4,FALSE)</f>
        <v>#N/A</v>
      </c>
      <c r="H815" s="210" t="str">
        <f>TEXT(A815,"ddd")</f>
        <v>Sat</v>
      </c>
    </row>
    <row r="816" spans="1:8" x14ac:dyDescent="0.25">
      <c r="A816" s="13"/>
      <c r="B816" s="14"/>
      <c r="C816" s="39"/>
      <c r="D816" s="39"/>
      <c r="E816" s="36" t="str">
        <f>IF(SUM(C816:D816)=0," ",SUM(C816:D816))</f>
        <v xml:space="preserve"> </v>
      </c>
      <c r="F816" s="14"/>
      <c r="G816" s="120" t="e">
        <f>VLOOKUP($B816,Information!$C$8:$F$15,4,FALSE)</f>
        <v>#N/A</v>
      </c>
      <c r="H816" s="210" t="str">
        <f>TEXT(A816,"ddd")</f>
        <v>Sat</v>
      </c>
    </row>
    <row r="817" spans="1:8" x14ac:dyDescent="0.25">
      <c r="A817" s="13"/>
      <c r="B817" s="14"/>
      <c r="C817" s="39"/>
      <c r="D817" s="39"/>
      <c r="E817" s="36" t="str">
        <f>IF(SUM(C817:D817)=0," ",SUM(C817:D817))</f>
        <v xml:space="preserve"> </v>
      </c>
      <c r="F817" s="14"/>
      <c r="G817" s="120" t="e">
        <f>VLOOKUP($B817,Information!$C$8:$F$15,4,FALSE)</f>
        <v>#N/A</v>
      </c>
      <c r="H817" s="210" t="str">
        <f>TEXT(A817,"ddd")</f>
        <v>Sat</v>
      </c>
    </row>
    <row r="818" spans="1:8" x14ac:dyDescent="0.25">
      <c r="A818" s="13"/>
      <c r="B818" s="14"/>
      <c r="C818" s="39"/>
      <c r="D818" s="39"/>
      <c r="E818" s="36" t="str">
        <f>IF(SUM(C818:D818)=0," ",SUM(C818:D818))</f>
        <v xml:space="preserve"> </v>
      </c>
      <c r="F818" s="14"/>
      <c r="G818" s="120" t="e">
        <f>VLOOKUP($B818,Information!$C$8:$F$15,4,FALSE)</f>
        <v>#N/A</v>
      </c>
      <c r="H818" s="210" t="str">
        <f>TEXT(A818,"ddd")</f>
        <v>Sat</v>
      </c>
    </row>
    <row r="819" spans="1:8" x14ac:dyDescent="0.25">
      <c r="A819" s="13"/>
      <c r="B819" s="14"/>
      <c r="C819" s="39"/>
      <c r="D819" s="39"/>
      <c r="E819" s="36" t="str">
        <f>IF(SUM(C819:D819)=0," ",SUM(C819:D819))</f>
        <v xml:space="preserve"> </v>
      </c>
      <c r="F819" s="14"/>
      <c r="G819" s="120" t="e">
        <f>VLOOKUP($B819,Information!$C$8:$F$15,4,FALSE)</f>
        <v>#N/A</v>
      </c>
      <c r="H819" s="210" t="str">
        <f>TEXT(A819,"ddd")</f>
        <v>Sat</v>
      </c>
    </row>
    <row r="820" spans="1:8" x14ac:dyDescent="0.25">
      <c r="A820" s="13"/>
      <c r="B820" s="14"/>
      <c r="C820" s="39"/>
      <c r="D820" s="39"/>
      <c r="E820" s="36" t="str">
        <f>IF(SUM(C820:D820)=0," ",SUM(C820:D820))</f>
        <v xml:space="preserve"> </v>
      </c>
      <c r="F820" s="14"/>
      <c r="G820" s="120" t="e">
        <f>VLOOKUP($B820,Information!$C$8:$F$15,4,FALSE)</f>
        <v>#N/A</v>
      </c>
      <c r="H820" s="210" t="str">
        <f>TEXT(A820,"ddd")</f>
        <v>Sat</v>
      </c>
    </row>
    <row r="821" spans="1:8" x14ac:dyDescent="0.25">
      <c r="A821" s="13"/>
      <c r="B821" s="14"/>
      <c r="C821" s="39"/>
      <c r="D821" s="39"/>
      <c r="E821" s="36" t="str">
        <f>IF(SUM(C821:D821)=0," ",SUM(C821:D821))</f>
        <v xml:space="preserve"> </v>
      </c>
      <c r="F821" s="14"/>
      <c r="G821" s="120" t="e">
        <f>VLOOKUP($B821,Information!$C$8:$F$15,4,FALSE)</f>
        <v>#N/A</v>
      </c>
      <c r="H821" s="210" t="str">
        <f>TEXT(A821,"ddd")</f>
        <v>Sat</v>
      </c>
    </row>
    <row r="822" spans="1:8" x14ac:dyDescent="0.25">
      <c r="A822" s="13"/>
      <c r="B822" s="14"/>
      <c r="C822" s="39"/>
      <c r="D822" s="39"/>
      <c r="E822" s="36" t="str">
        <f>IF(SUM(C822:D822)=0," ",SUM(C822:D822))</f>
        <v xml:space="preserve"> </v>
      </c>
      <c r="F822" s="14"/>
      <c r="G822" s="120" t="e">
        <f>VLOOKUP($B822,Information!$C$8:$F$15,4,FALSE)</f>
        <v>#N/A</v>
      </c>
      <c r="H822" s="210" t="str">
        <f>TEXT(A822,"ddd")</f>
        <v>Sat</v>
      </c>
    </row>
    <row r="823" spans="1:8" x14ac:dyDescent="0.25">
      <c r="A823" s="13"/>
      <c r="B823" s="14"/>
      <c r="C823" s="39"/>
      <c r="D823" s="39"/>
      <c r="E823" s="36" t="str">
        <f>IF(SUM(C823:D823)=0," ",SUM(C823:D823))</f>
        <v xml:space="preserve"> </v>
      </c>
      <c r="F823" s="14"/>
      <c r="G823" s="120" t="e">
        <f>VLOOKUP($B823,Information!$C$8:$F$15,4,FALSE)</f>
        <v>#N/A</v>
      </c>
      <c r="H823" s="210" t="str">
        <f>TEXT(A823,"ddd")</f>
        <v>Sat</v>
      </c>
    </row>
    <row r="824" spans="1:8" x14ac:dyDescent="0.25">
      <c r="A824" s="13"/>
      <c r="B824" s="14"/>
      <c r="C824" s="39"/>
      <c r="D824" s="39"/>
      <c r="E824" s="36" t="str">
        <f>IF(SUM(C824:D824)=0," ",SUM(C824:D824))</f>
        <v xml:space="preserve"> </v>
      </c>
      <c r="F824" s="14"/>
      <c r="G824" s="120" t="e">
        <f>VLOOKUP($B824,Information!$C$8:$F$15,4,FALSE)</f>
        <v>#N/A</v>
      </c>
      <c r="H824" s="210" t="str">
        <f>TEXT(A824,"ddd")</f>
        <v>Sat</v>
      </c>
    </row>
    <row r="825" spans="1:8" x14ac:dyDescent="0.25">
      <c r="A825" s="13"/>
      <c r="B825" s="14"/>
      <c r="C825" s="39"/>
      <c r="D825" s="39"/>
      <c r="E825" s="36" t="str">
        <f>IF(SUM(C825:D825)=0," ",SUM(C825:D825))</f>
        <v xml:space="preserve"> </v>
      </c>
      <c r="F825" s="14"/>
      <c r="G825" s="120" t="e">
        <f>VLOOKUP($B825,Information!$C$8:$F$15,4,FALSE)</f>
        <v>#N/A</v>
      </c>
      <c r="H825" s="210" t="str">
        <f>TEXT(A825,"ddd")</f>
        <v>Sat</v>
      </c>
    </row>
    <row r="826" spans="1:8" x14ac:dyDescent="0.25">
      <c r="A826" s="13"/>
      <c r="B826" s="14"/>
      <c r="C826" s="39"/>
      <c r="D826" s="39"/>
      <c r="E826" s="36" t="str">
        <f>IF(SUM(C826:D826)=0," ",SUM(C826:D826))</f>
        <v xml:space="preserve"> </v>
      </c>
      <c r="F826" s="14"/>
      <c r="G826" s="120" t="e">
        <f>VLOOKUP($B826,Information!$C$8:$F$15,4,FALSE)</f>
        <v>#N/A</v>
      </c>
      <c r="H826" s="210" t="str">
        <f>TEXT(A826,"ddd")</f>
        <v>Sat</v>
      </c>
    </row>
    <row r="827" spans="1:8" x14ac:dyDescent="0.25">
      <c r="A827" s="13"/>
      <c r="B827" s="14"/>
      <c r="C827" s="39"/>
      <c r="D827" s="39"/>
      <c r="E827" s="36" t="str">
        <f>IF(SUM(C827:D827)=0," ",SUM(C827:D827))</f>
        <v xml:space="preserve"> </v>
      </c>
      <c r="F827" s="14"/>
      <c r="G827" s="120" t="e">
        <f>VLOOKUP($B827,Information!$C$8:$F$15,4,FALSE)</f>
        <v>#N/A</v>
      </c>
      <c r="H827" s="210" t="str">
        <f>TEXT(A827,"ddd")</f>
        <v>Sat</v>
      </c>
    </row>
    <row r="828" spans="1:8" x14ac:dyDescent="0.25">
      <c r="A828" s="13"/>
      <c r="B828" s="14"/>
      <c r="C828" s="39"/>
      <c r="D828" s="39"/>
      <c r="E828" s="36" t="str">
        <f>IF(SUM(C828:D828)=0," ",SUM(C828:D828))</f>
        <v xml:space="preserve"> </v>
      </c>
      <c r="F828" s="14"/>
      <c r="G828" s="120" t="e">
        <f>VLOOKUP($B828,Information!$C$8:$F$15,4,FALSE)</f>
        <v>#N/A</v>
      </c>
      <c r="H828" s="210" t="str">
        <f>TEXT(A828,"ddd")</f>
        <v>Sat</v>
      </c>
    </row>
    <row r="829" spans="1:8" x14ac:dyDescent="0.25">
      <c r="A829" s="13"/>
      <c r="B829" s="14"/>
      <c r="C829" s="39"/>
      <c r="D829" s="39"/>
      <c r="E829" s="36" t="str">
        <f>IF(SUM(C829:D829)=0," ",SUM(C829:D829))</f>
        <v xml:space="preserve"> </v>
      </c>
      <c r="F829" s="14"/>
      <c r="G829" s="120" t="e">
        <f>VLOOKUP($B829,Information!$C$8:$F$15,4,FALSE)</f>
        <v>#N/A</v>
      </c>
      <c r="H829" s="210" t="str">
        <f>TEXT(A829,"ddd")</f>
        <v>Sat</v>
      </c>
    </row>
    <row r="830" spans="1:8" x14ac:dyDescent="0.25">
      <c r="A830" s="13"/>
      <c r="B830" s="14"/>
      <c r="C830" s="39"/>
      <c r="D830" s="39"/>
      <c r="E830" s="36" t="str">
        <f>IF(SUM(C830:D830)=0," ",SUM(C830:D830))</f>
        <v xml:space="preserve"> </v>
      </c>
      <c r="F830" s="14"/>
      <c r="G830" s="120" t="e">
        <f>VLOOKUP($B830,Information!$C$8:$F$15,4,FALSE)</f>
        <v>#N/A</v>
      </c>
      <c r="H830" s="210" t="str">
        <f>TEXT(A830,"ddd")</f>
        <v>Sat</v>
      </c>
    </row>
    <row r="831" spans="1:8" x14ac:dyDescent="0.25">
      <c r="A831" s="13"/>
      <c r="B831" s="14"/>
      <c r="C831" s="39"/>
      <c r="D831" s="39"/>
      <c r="E831" s="36" t="str">
        <f>IF(SUM(C831:D831)=0," ",SUM(C831:D831))</f>
        <v xml:space="preserve"> </v>
      </c>
      <c r="F831" s="14"/>
      <c r="G831" s="120" t="e">
        <f>VLOOKUP($B831,Information!$C$8:$F$15,4,FALSE)</f>
        <v>#N/A</v>
      </c>
      <c r="H831" s="210" t="str">
        <f>TEXT(A831,"ddd")</f>
        <v>Sat</v>
      </c>
    </row>
    <row r="832" spans="1:8" x14ac:dyDescent="0.25">
      <c r="A832" s="13"/>
      <c r="B832" s="14"/>
      <c r="C832" s="39"/>
      <c r="D832" s="39"/>
      <c r="E832" s="36" t="str">
        <f>IF(SUM(C832:D832)=0," ",SUM(C832:D832))</f>
        <v xml:space="preserve"> </v>
      </c>
      <c r="F832" s="14"/>
      <c r="G832" s="120" t="e">
        <f>VLOOKUP($B832,Information!$C$8:$F$15,4,FALSE)</f>
        <v>#N/A</v>
      </c>
      <c r="H832" s="210" t="str">
        <f>TEXT(A832,"ddd")</f>
        <v>Sat</v>
      </c>
    </row>
    <row r="833" spans="1:8" x14ac:dyDescent="0.25">
      <c r="A833" s="13"/>
      <c r="B833" s="14"/>
      <c r="C833" s="39"/>
      <c r="D833" s="39"/>
      <c r="E833" s="36" t="str">
        <f>IF(SUM(C833:D833)=0," ",SUM(C833:D833))</f>
        <v xml:space="preserve"> </v>
      </c>
      <c r="F833" s="14"/>
      <c r="G833" s="120" t="e">
        <f>VLOOKUP($B833,Information!$C$8:$F$15,4,FALSE)</f>
        <v>#N/A</v>
      </c>
      <c r="H833" s="210" t="str">
        <f>TEXT(A833,"ddd")</f>
        <v>Sat</v>
      </c>
    </row>
    <row r="834" spans="1:8" x14ac:dyDescent="0.25">
      <c r="A834" s="13"/>
      <c r="B834" s="14"/>
      <c r="C834" s="39"/>
      <c r="D834" s="39"/>
      <c r="E834" s="36" t="str">
        <f>IF(SUM(C834:D834)=0," ",SUM(C834:D834))</f>
        <v xml:space="preserve"> </v>
      </c>
      <c r="F834" s="14"/>
      <c r="G834" s="120" t="e">
        <f>VLOOKUP($B834,Information!$C$8:$F$15,4,FALSE)</f>
        <v>#N/A</v>
      </c>
      <c r="H834" s="210" t="str">
        <f>TEXT(A834,"ddd")</f>
        <v>Sat</v>
      </c>
    </row>
    <row r="835" spans="1:8" x14ac:dyDescent="0.25">
      <c r="A835" s="13"/>
      <c r="B835" s="14"/>
      <c r="C835" s="39"/>
      <c r="D835" s="39"/>
      <c r="E835" s="36" t="str">
        <f>IF(SUM(C835:D835)=0," ",SUM(C835:D835))</f>
        <v xml:space="preserve"> </v>
      </c>
      <c r="F835" s="14"/>
      <c r="G835" s="120" t="e">
        <f>VLOOKUP($B835,Information!$C$8:$F$15,4,FALSE)</f>
        <v>#N/A</v>
      </c>
      <c r="H835" s="210" t="str">
        <f>TEXT(A835,"ddd")</f>
        <v>Sat</v>
      </c>
    </row>
    <row r="836" spans="1:8" x14ac:dyDescent="0.25">
      <c r="A836" s="13"/>
      <c r="B836" s="14"/>
      <c r="C836" s="39"/>
      <c r="D836" s="39"/>
      <c r="E836" s="36" t="str">
        <f>IF(SUM(C836:D836)=0," ",SUM(C836:D836))</f>
        <v xml:space="preserve"> </v>
      </c>
      <c r="F836" s="14"/>
      <c r="G836" s="120" t="e">
        <f>VLOOKUP($B836,Information!$C$8:$F$15,4,FALSE)</f>
        <v>#N/A</v>
      </c>
      <c r="H836" s="210" t="str">
        <f>TEXT(A836,"ddd")</f>
        <v>Sat</v>
      </c>
    </row>
    <row r="837" spans="1:8" x14ac:dyDescent="0.25">
      <c r="A837" s="13"/>
      <c r="B837" s="14"/>
      <c r="C837" s="39"/>
      <c r="D837" s="39"/>
      <c r="E837" s="36" t="str">
        <f>IF(SUM(C837:D837)=0," ",SUM(C837:D837))</f>
        <v xml:space="preserve"> </v>
      </c>
      <c r="F837" s="14"/>
      <c r="G837" s="120" t="e">
        <f>VLOOKUP($B837,Information!$C$8:$F$15,4,FALSE)</f>
        <v>#N/A</v>
      </c>
      <c r="H837" s="210" t="str">
        <f>TEXT(A837,"ddd")</f>
        <v>Sat</v>
      </c>
    </row>
    <row r="838" spans="1:8" x14ac:dyDescent="0.25">
      <c r="A838" s="13"/>
      <c r="B838" s="14"/>
      <c r="C838" s="39"/>
      <c r="D838" s="39"/>
      <c r="E838" s="36" t="str">
        <f>IF(SUM(C838:D838)=0," ",SUM(C838:D838))</f>
        <v xml:space="preserve"> </v>
      </c>
      <c r="F838" s="14"/>
      <c r="G838" s="120" t="e">
        <f>VLOOKUP($B838,Information!$C$8:$F$15,4,FALSE)</f>
        <v>#N/A</v>
      </c>
      <c r="H838" s="210" t="str">
        <f>TEXT(A838,"ddd")</f>
        <v>Sat</v>
      </c>
    </row>
    <row r="839" spans="1:8" ht="13.8" customHeight="1" x14ac:dyDescent="0.25">
      <c r="A839" s="13"/>
      <c r="B839" s="14"/>
      <c r="C839" s="39"/>
      <c r="D839" s="39"/>
      <c r="E839" s="36" t="str">
        <f>IF(SUM(C839:D839)=0," ",SUM(C839:D839))</f>
        <v xml:space="preserve"> </v>
      </c>
      <c r="F839" s="14"/>
      <c r="G839" s="120" t="e">
        <f>VLOOKUP($B839,Information!$C$8:$F$15,4,FALSE)</f>
        <v>#N/A</v>
      </c>
      <c r="H839" s="210" t="str">
        <f>TEXT(A839,"ddd")</f>
        <v>Sat</v>
      </c>
    </row>
    <row r="840" spans="1:8" x14ac:dyDescent="0.25">
      <c r="A840" s="13"/>
      <c r="B840" s="14"/>
      <c r="C840" s="39"/>
      <c r="D840" s="39"/>
      <c r="E840" s="36" t="str">
        <f>IF(SUM(C840:D840)=0," ",SUM(C840:D840))</f>
        <v xml:space="preserve"> </v>
      </c>
      <c r="F840" s="14"/>
      <c r="G840" s="120" t="e">
        <f>VLOOKUP($B840,Information!$C$8:$F$15,4,FALSE)</f>
        <v>#N/A</v>
      </c>
      <c r="H840" s="210" t="str">
        <f>TEXT(A840,"ddd")</f>
        <v>Sat</v>
      </c>
    </row>
    <row r="841" spans="1:8" ht="13.8" customHeight="1" x14ac:dyDescent="0.3">
      <c r="A841" s="15"/>
      <c r="B841" s="14"/>
      <c r="C841" s="37"/>
      <c r="D841" s="37"/>
      <c r="E841" s="36" t="str">
        <f>IF(SUM(C841:D841)=0," ",SUM(C841:D841))</f>
        <v xml:space="preserve"> </v>
      </c>
      <c r="F841" s="18"/>
      <c r="G841" s="120" t="e">
        <f>VLOOKUP($B841,Information!$C$8:$F$15,4,FALSE)</f>
        <v>#N/A</v>
      </c>
      <c r="H841" s="210" t="str">
        <f>TEXT(A841,"ddd")</f>
        <v>Sat</v>
      </c>
    </row>
    <row r="842" spans="1:8" x14ac:dyDescent="0.25">
      <c r="A842" s="15"/>
      <c r="B842" s="14"/>
      <c r="C842" s="39"/>
      <c r="D842" s="39"/>
      <c r="E842" s="36" t="str">
        <f>IF(SUM(C842:D842)=0," ",SUM(C842:D842))</f>
        <v xml:space="preserve"> </v>
      </c>
      <c r="F842" s="14"/>
      <c r="G842" s="120" t="e">
        <f>VLOOKUP($B842,Information!$C$8:$F$15,4,FALSE)</f>
        <v>#N/A</v>
      </c>
      <c r="H842" s="210" t="str">
        <f>TEXT(A842,"ddd")</f>
        <v>Sat</v>
      </c>
    </row>
    <row r="843" spans="1:8" x14ac:dyDescent="0.25">
      <c r="A843" s="13"/>
      <c r="B843" s="14"/>
      <c r="C843" s="39"/>
      <c r="D843" s="39"/>
      <c r="E843" s="36" t="str">
        <f>IF(SUM(C843:D843)=0," ",SUM(C843:D843))</f>
        <v xml:space="preserve"> </v>
      </c>
      <c r="F843" s="14"/>
      <c r="G843" s="120" t="e">
        <f>VLOOKUP($B843,Information!$C$8:$F$15,4,FALSE)</f>
        <v>#N/A</v>
      </c>
      <c r="H843" s="210" t="str">
        <f>TEXT(A843,"ddd")</f>
        <v>Sat</v>
      </c>
    </row>
    <row r="844" spans="1:8" x14ac:dyDescent="0.25">
      <c r="A844" s="13"/>
      <c r="B844" s="14"/>
      <c r="C844" s="39"/>
      <c r="D844" s="39"/>
      <c r="E844" s="36" t="str">
        <f>IF(SUM(C844:D844)=0," ",SUM(C844:D844))</f>
        <v xml:space="preserve"> </v>
      </c>
      <c r="F844" s="14"/>
      <c r="G844" s="120" t="e">
        <f>VLOOKUP($B844,Information!$C$8:$F$15,4,FALSE)</f>
        <v>#N/A</v>
      </c>
      <c r="H844" s="210" t="str">
        <f>TEXT(A844,"ddd")</f>
        <v>Sat</v>
      </c>
    </row>
    <row r="845" spans="1:8" x14ac:dyDescent="0.25">
      <c r="A845" s="13"/>
      <c r="B845" s="14"/>
      <c r="C845" s="39"/>
      <c r="D845" s="39"/>
      <c r="E845" s="36" t="str">
        <f>IF(SUM(C845:D845)=0," ",SUM(C845:D845))</f>
        <v xml:space="preserve"> </v>
      </c>
      <c r="F845" s="14"/>
      <c r="G845" s="120" t="e">
        <f>VLOOKUP($B845,Information!$C$8:$F$15,4,FALSE)</f>
        <v>#N/A</v>
      </c>
      <c r="H845" s="210" t="str">
        <f>TEXT(A845,"ddd")</f>
        <v>Sat</v>
      </c>
    </row>
    <row r="846" spans="1:8" x14ac:dyDescent="0.25">
      <c r="A846" s="13"/>
      <c r="B846" s="14"/>
      <c r="C846" s="39"/>
      <c r="D846" s="39"/>
      <c r="E846" s="36" t="str">
        <f>IF(SUM(C846:D846)=0," ",SUM(C846:D846))</f>
        <v xml:space="preserve"> </v>
      </c>
      <c r="F846" s="14"/>
      <c r="G846" s="120" t="e">
        <f>VLOOKUP($B846,Information!$C$8:$F$15,4,FALSE)</f>
        <v>#N/A</v>
      </c>
      <c r="H846" s="210" t="str">
        <f>TEXT(A846,"ddd")</f>
        <v>Sat</v>
      </c>
    </row>
    <row r="847" spans="1:8" x14ac:dyDescent="0.25">
      <c r="A847" s="13"/>
      <c r="B847" s="14"/>
      <c r="C847" s="39"/>
      <c r="D847" s="39"/>
      <c r="E847" s="36" t="str">
        <f>IF(SUM(C847:D847)=0," ",SUM(C847:D847))</f>
        <v xml:space="preserve"> </v>
      </c>
      <c r="F847" s="14"/>
      <c r="G847" s="120" t="e">
        <f>VLOOKUP($B847,Information!$C$8:$F$15,4,FALSE)</f>
        <v>#N/A</v>
      </c>
      <c r="H847" s="210" t="str">
        <f>TEXT(A847,"ddd")</f>
        <v>Sat</v>
      </c>
    </row>
    <row r="848" spans="1:8" x14ac:dyDescent="0.25">
      <c r="A848" s="13"/>
      <c r="B848" s="14"/>
      <c r="C848" s="39"/>
      <c r="D848" s="39"/>
      <c r="E848" s="36" t="str">
        <f>IF(SUM(C848:D848)=0," ",SUM(C848:D848))</f>
        <v xml:space="preserve"> </v>
      </c>
      <c r="F848" s="14"/>
      <c r="G848" s="120" t="e">
        <f>VLOOKUP($B848,Information!$C$8:$F$15,4,FALSE)</f>
        <v>#N/A</v>
      </c>
      <c r="H848" s="210" t="str">
        <f>TEXT(A848,"ddd")</f>
        <v>Sat</v>
      </c>
    </row>
    <row r="849" spans="1:8" x14ac:dyDescent="0.25">
      <c r="A849" s="13"/>
      <c r="B849" s="14"/>
      <c r="C849" s="39"/>
      <c r="D849" s="39"/>
      <c r="E849" s="36" t="str">
        <f>IF(SUM(C849:D849)=0," ",SUM(C849:D849))</f>
        <v xml:space="preserve"> </v>
      </c>
      <c r="F849" s="14"/>
      <c r="G849" s="120" t="e">
        <f>VLOOKUP($B849,Information!$C$8:$F$15,4,FALSE)</f>
        <v>#N/A</v>
      </c>
      <c r="H849" s="210" t="str">
        <f>TEXT(A849,"ddd")</f>
        <v>Sat</v>
      </c>
    </row>
    <row r="850" spans="1:8" x14ac:dyDescent="0.25">
      <c r="A850" s="13"/>
      <c r="B850" s="14"/>
      <c r="C850" s="39"/>
      <c r="D850" s="39"/>
      <c r="E850" s="36" t="str">
        <f>IF(SUM(C850:D850)=0," ",SUM(C850:D850))</f>
        <v xml:space="preserve"> </v>
      </c>
      <c r="F850" s="14"/>
      <c r="G850" s="120" t="e">
        <f>VLOOKUP($B850,Information!$C$8:$F$15,4,FALSE)</f>
        <v>#N/A</v>
      </c>
      <c r="H850" s="210" t="str">
        <f>TEXT(A850,"ddd")</f>
        <v>Sat</v>
      </c>
    </row>
    <row r="851" spans="1:8" x14ac:dyDescent="0.25">
      <c r="A851" s="13"/>
      <c r="B851" s="14"/>
      <c r="C851" s="39"/>
      <c r="D851" s="39"/>
      <c r="E851" s="36" t="str">
        <f>IF(SUM(C851:D851)=0," ",SUM(C851:D851))</f>
        <v xml:space="preserve"> </v>
      </c>
      <c r="F851" s="14"/>
      <c r="G851" s="120" t="e">
        <f>VLOOKUP($B851,Information!$C$8:$F$15,4,FALSE)</f>
        <v>#N/A</v>
      </c>
      <c r="H851" s="210" t="str">
        <f>TEXT(A851,"ddd")</f>
        <v>Sat</v>
      </c>
    </row>
    <row r="852" spans="1:8" x14ac:dyDescent="0.25">
      <c r="A852" s="13"/>
      <c r="B852" s="14"/>
      <c r="C852" s="39"/>
      <c r="D852" s="39"/>
      <c r="E852" s="36" t="str">
        <f>IF(SUM(C852:D852)=0," ",SUM(C852:D852))</f>
        <v xml:space="preserve"> </v>
      </c>
      <c r="F852" s="14"/>
      <c r="G852" s="120" t="e">
        <f>VLOOKUP($B852,Information!$C$8:$F$15,4,FALSE)</f>
        <v>#N/A</v>
      </c>
      <c r="H852" s="210" t="str">
        <f>TEXT(A852,"ddd")</f>
        <v>Sat</v>
      </c>
    </row>
    <row r="853" spans="1:8" x14ac:dyDescent="0.25">
      <c r="A853" s="13"/>
      <c r="B853" s="14"/>
      <c r="C853" s="39"/>
      <c r="D853" s="39"/>
      <c r="E853" s="36" t="str">
        <f>IF(SUM(C853:D853)=0," ",SUM(C853:D853))</f>
        <v xml:space="preserve"> </v>
      </c>
      <c r="F853" s="14"/>
      <c r="G853" s="120" t="e">
        <f>VLOOKUP($B853,Information!$C$8:$F$15,4,FALSE)</f>
        <v>#N/A</v>
      </c>
      <c r="H853" s="210" t="str">
        <f>TEXT(A853,"ddd")</f>
        <v>Sat</v>
      </c>
    </row>
    <row r="854" spans="1:8" x14ac:dyDescent="0.25">
      <c r="A854" s="13"/>
      <c r="B854" s="14"/>
      <c r="C854" s="39"/>
      <c r="D854" s="39"/>
      <c r="E854" s="36" t="str">
        <f>IF(SUM(C854:D854)=0," ",SUM(C854:D854))</f>
        <v xml:space="preserve"> </v>
      </c>
      <c r="F854" s="14"/>
      <c r="G854" s="120" t="e">
        <f>VLOOKUP($B854,Information!$C$8:$F$15,4,FALSE)</f>
        <v>#N/A</v>
      </c>
      <c r="H854" s="210" t="str">
        <f>TEXT(A854,"ddd")</f>
        <v>Sat</v>
      </c>
    </row>
    <row r="855" spans="1:8" x14ac:dyDescent="0.25">
      <c r="A855" s="13"/>
      <c r="B855" s="14"/>
      <c r="C855" s="39"/>
      <c r="D855" s="39"/>
      <c r="E855" s="36" t="str">
        <f>IF(SUM(C855:D855)=0," ",SUM(C855:D855))</f>
        <v xml:space="preserve"> </v>
      </c>
      <c r="F855" s="14"/>
      <c r="G855" s="120" t="e">
        <f>VLOOKUP($B855,Information!$C$8:$F$15,4,FALSE)</f>
        <v>#N/A</v>
      </c>
      <c r="H855" s="210" t="str">
        <f>TEXT(A855,"ddd")</f>
        <v>Sat</v>
      </c>
    </row>
    <row r="856" spans="1:8" x14ac:dyDescent="0.25">
      <c r="A856" s="13"/>
      <c r="B856" s="14"/>
      <c r="C856" s="39"/>
      <c r="D856" s="39"/>
      <c r="E856" s="36" t="str">
        <f>IF(SUM(C856:D856)=0," ",SUM(C856:D856))</f>
        <v xml:space="preserve"> </v>
      </c>
      <c r="F856" s="14"/>
      <c r="G856" s="120" t="e">
        <f>VLOOKUP($B856,Information!$C$8:$F$15,4,FALSE)</f>
        <v>#N/A</v>
      </c>
      <c r="H856" s="210" t="str">
        <f>TEXT(A856,"ddd")</f>
        <v>Sat</v>
      </c>
    </row>
    <row r="857" spans="1:8" x14ac:dyDescent="0.25">
      <c r="A857" s="13"/>
      <c r="B857" s="14"/>
      <c r="C857" s="39"/>
      <c r="D857" s="39"/>
      <c r="E857" s="36" t="str">
        <f>IF(SUM(C857:D857)=0," ",SUM(C857:D857))</f>
        <v xml:space="preserve"> </v>
      </c>
      <c r="F857" s="14"/>
      <c r="G857" s="120" t="e">
        <f>VLOOKUP($B857,Information!$C$8:$F$15,4,FALSE)</f>
        <v>#N/A</v>
      </c>
      <c r="H857" s="210" t="str">
        <f>TEXT(A857,"ddd")</f>
        <v>Sat</v>
      </c>
    </row>
    <row r="858" spans="1:8" x14ac:dyDescent="0.25">
      <c r="A858" s="13"/>
      <c r="B858" s="14"/>
      <c r="C858" s="39"/>
      <c r="D858" s="39"/>
      <c r="E858" s="36" t="str">
        <f>IF(SUM(C858:D858)=0," ",SUM(C858:D858))</f>
        <v xml:space="preserve"> </v>
      </c>
      <c r="F858" s="14"/>
      <c r="G858" s="120" t="e">
        <f>VLOOKUP($B858,Information!$C$8:$F$15,4,FALSE)</f>
        <v>#N/A</v>
      </c>
      <c r="H858" s="210" t="str">
        <f>TEXT(A858,"ddd")</f>
        <v>Sat</v>
      </c>
    </row>
    <row r="859" spans="1:8" x14ac:dyDescent="0.25">
      <c r="A859" s="13"/>
      <c r="B859" s="14"/>
      <c r="C859" s="39"/>
      <c r="D859" s="39"/>
      <c r="E859" s="36" t="str">
        <f>IF(SUM(C859:D859)=0," ",SUM(C859:D859))</f>
        <v xml:space="preserve"> </v>
      </c>
      <c r="F859" s="14"/>
      <c r="G859" s="120" t="e">
        <f>VLOOKUP($B859,Information!$C$8:$F$15,4,FALSE)</f>
        <v>#N/A</v>
      </c>
      <c r="H859" s="210" t="str">
        <f>TEXT(A859,"ddd")</f>
        <v>Sat</v>
      </c>
    </row>
    <row r="860" spans="1:8" x14ac:dyDescent="0.25">
      <c r="A860" s="13"/>
      <c r="B860" s="14"/>
      <c r="C860" s="39"/>
      <c r="D860" s="39"/>
      <c r="E860" s="36" t="str">
        <f>IF(SUM(C860:D860)=0," ",SUM(C860:D860))</f>
        <v xml:space="preserve"> </v>
      </c>
      <c r="F860" s="14"/>
      <c r="G860" s="120" t="e">
        <f>VLOOKUP($B860,Information!$C$8:$F$15,4,FALSE)</f>
        <v>#N/A</v>
      </c>
      <c r="H860" s="210" t="str">
        <f>TEXT(A860,"ddd")</f>
        <v>Sat</v>
      </c>
    </row>
    <row r="861" spans="1:8" x14ac:dyDescent="0.25">
      <c r="A861" s="13"/>
      <c r="B861" s="14"/>
      <c r="C861" s="39"/>
      <c r="D861" s="39"/>
      <c r="E861" s="36" t="str">
        <f>IF(SUM(C861:D861)=0," ",SUM(C861:D861))</f>
        <v xml:space="preserve"> </v>
      </c>
      <c r="F861" s="14"/>
      <c r="G861" s="120" t="e">
        <f>VLOOKUP($B861,Information!$C$8:$F$15,4,FALSE)</f>
        <v>#N/A</v>
      </c>
      <c r="H861" s="210" t="str">
        <f>TEXT(A861,"ddd")</f>
        <v>Sat</v>
      </c>
    </row>
    <row r="862" spans="1:8" x14ac:dyDescent="0.25">
      <c r="A862" s="13"/>
      <c r="B862" s="14"/>
      <c r="C862" s="39"/>
      <c r="D862" s="39"/>
      <c r="E862" s="36" t="str">
        <f>IF(SUM(C862:D862)=0," ",SUM(C862:D862))</f>
        <v xml:space="preserve"> </v>
      </c>
      <c r="F862" s="14"/>
      <c r="G862" s="120" t="e">
        <f>VLOOKUP($B862,Information!$C$8:$F$15,4,FALSE)</f>
        <v>#N/A</v>
      </c>
      <c r="H862" s="210" t="str">
        <f>TEXT(A862,"ddd")</f>
        <v>Sat</v>
      </c>
    </row>
    <row r="863" spans="1:8" x14ac:dyDescent="0.25">
      <c r="A863" s="13"/>
      <c r="B863" s="14"/>
      <c r="C863" s="39"/>
      <c r="D863" s="39"/>
      <c r="E863" s="36" t="str">
        <f>IF(SUM(C863:D863)=0," ",SUM(C863:D863))</f>
        <v xml:space="preserve"> </v>
      </c>
      <c r="F863" s="14"/>
      <c r="G863" s="120" t="e">
        <f>VLOOKUP($B863,Information!$C$8:$F$15,4,FALSE)</f>
        <v>#N/A</v>
      </c>
      <c r="H863" s="210" t="str">
        <f>TEXT(A863,"ddd")</f>
        <v>Sat</v>
      </c>
    </row>
    <row r="864" spans="1:8" x14ac:dyDescent="0.25">
      <c r="A864" s="13"/>
      <c r="B864" s="14"/>
      <c r="C864" s="39"/>
      <c r="D864" s="39"/>
      <c r="E864" s="36" t="str">
        <f>IF(SUM(C864:D864)=0," ",SUM(C864:D864))</f>
        <v xml:space="preserve"> </v>
      </c>
      <c r="F864" s="14"/>
      <c r="G864" s="120" t="e">
        <f>VLOOKUP($B864,Information!$C$8:$F$15,4,FALSE)</f>
        <v>#N/A</v>
      </c>
      <c r="H864" s="210" t="str">
        <f>TEXT(A864,"ddd")</f>
        <v>Sat</v>
      </c>
    </row>
    <row r="865" spans="1:8" x14ac:dyDescent="0.25">
      <c r="A865" s="13"/>
      <c r="B865" s="14"/>
      <c r="C865" s="39"/>
      <c r="D865" s="39"/>
      <c r="E865" s="36" t="str">
        <f>IF(SUM(C865:D865)=0," ",SUM(C865:D865))</f>
        <v xml:space="preserve"> </v>
      </c>
      <c r="F865" s="14"/>
      <c r="G865" s="120" t="e">
        <f>VLOOKUP($B865,Information!$C$8:$F$15,4,FALSE)</f>
        <v>#N/A</v>
      </c>
      <c r="H865" s="210" t="str">
        <f>TEXT(A865,"ddd")</f>
        <v>Sat</v>
      </c>
    </row>
    <row r="866" spans="1:8" x14ac:dyDescent="0.25">
      <c r="A866" s="13"/>
      <c r="B866" s="14"/>
      <c r="C866" s="39"/>
      <c r="D866" s="39"/>
      <c r="E866" s="36" t="str">
        <f>IF(SUM(C866:D866)=0," ",SUM(C866:D866))</f>
        <v xml:space="preserve"> </v>
      </c>
      <c r="F866" s="14"/>
      <c r="G866" s="120" t="e">
        <f>VLOOKUP($B866,Information!$C$8:$F$15,4,FALSE)</f>
        <v>#N/A</v>
      </c>
      <c r="H866" s="210" t="str">
        <f>TEXT(A866,"ddd")</f>
        <v>Sat</v>
      </c>
    </row>
    <row r="867" spans="1:8" x14ac:dyDescent="0.25">
      <c r="A867" s="13"/>
      <c r="B867" s="14"/>
      <c r="C867" s="39"/>
      <c r="D867" s="39"/>
      <c r="E867" s="36" t="str">
        <f>IF(SUM(C867:D867)=0," ",SUM(C867:D867))</f>
        <v xml:space="preserve"> </v>
      </c>
      <c r="F867" s="14"/>
      <c r="G867" s="120" t="e">
        <f>VLOOKUP($B867,Information!$C$8:$F$15,4,FALSE)</f>
        <v>#N/A</v>
      </c>
      <c r="H867" s="210" t="str">
        <f>TEXT(A867,"ddd")</f>
        <v>Sat</v>
      </c>
    </row>
    <row r="868" spans="1:8" x14ac:dyDescent="0.25">
      <c r="A868" s="13"/>
      <c r="B868" s="14"/>
      <c r="C868" s="39"/>
      <c r="D868" s="39"/>
      <c r="E868" s="36" t="str">
        <f>IF(SUM(C868:D868)=0," ",SUM(C868:D868))</f>
        <v xml:space="preserve"> </v>
      </c>
      <c r="F868" s="14"/>
      <c r="G868" s="120" t="e">
        <f>VLOOKUP($B868,Information!$C$8:$F$15,4,FALSE)</f>
        <v>#N/A</v>
      </c>
      <c r="H868" s="210" t="str">
        <f>TEXT(A868,"ddd")</f>
        <v>Sat</v>
      </c>
    </row>
    <row r="869" spans="1:8" x14ac:dyDescent="0.25">
      <c r="A869" s="13"/>
      <c r="B869" s="14"/>
      <c r="C869" s="39"/>
      <c r="D869" s="39"/>
      <c r="E869" s="36" t="str">
        <f>IF(SUM(C869:D869)=0," ",SUM(C869:D869))</f>
        <v xml:space="preserve"> </v>
      </c>
      <c r="F869" s="14"/>
      <c r="G869" s="120" t="e">
        <f>VLOOKUP($B869,Information!$C$8:$F$15,4,FALSE)</f>
        <v>#N/A</v>
      </c>
      <c r="H869" s="210" t="str">
        <f>TEXT(A869,"ddd")</f>
        <v>Sat</v>
      </c>
    </row>
    <row r="870" spans="1:8" x14ac:dyDescent="0.25">
      <c r="A870" s="13"/>
      <c r="B870" s="14"/>
      <c r="C870" s="39"/>
      <c r="D870" s="39"/>
      <c r="E870" s="36" t="str">
        <f>IF(SUM(C870:D870)=0," ",SUM(C870:D870))</f>
        <v xml:space="preserve"> </v>
      </c>
      <c r="F870" s="14"/>
      <c r="G870" s="120" t="e">
        <f>VLOOKUP($B870,Information!$C$8:$F$15,4,FALSE)</f>
        <v>#N/A</v>
      </c>
      <c r="H870" s="210" t="str">
        <f>TEXT(A870,"ddd")</f>
        <v>Sat</v>
      </c>
    </row>
    <row r="871" spans="1:8" x14ac:dyDescent="0.25">
      <c r="A871" s="13"/>
      <c r="B871" s="14"/>
      <c r="C871" s="39"/>
      <c r="D871" s="39"/>
      <c r="E871" s="36" t="str">
        <f>IF(SUM(C871:D871)=0," ",SUM(C871:D871))</f>
        <v xml:space="preserve"> </v>
      </c>
      <c r="F871" s="14"/>
      <c r="G871" s="120" t="e">
        <f>VLOOKUP($B871,Information!$C$8:$F$15,4,FALSE)</f>
        <v>#N/A</v>
      </c>
      <c r="H871" s="210" t="str">
        <f>TEXT(A871,"ddd")</f>
        <v>Sat</v>
      </c>
    </row>
    <row r="872" spans="1:8" x14ac:dyDescent="0.25">
      <c r="A872" s="13"/>
      <c r="B872" s="14"/>
      <c r="C872" s="39"/>
      <c r="D872" s="39"/>
      <c r="E872" s="36" t="str">
        <f>IF(SUM(C872:D872)=0," ",SUM(C872:D872))</f>
        <v xml:space="preserve"> </v>
      </c>
      <c r="F872" s="14"/>
      <c r="G872" s="120" t="e">
        <f>VLOOKUP($B872,Information!$C$8:$F$15,4,FALSE)</f>
        <v>#N/A</v>
      </c>
      <c r="H872" s="210" t="str">
        <f>TEXT(A872,"ddd")</f>
        <v>Sat</v>
      </c>
    </row>
    <row r="873" spans="1:8" x14ac:dyDescent="0.25">
      <c r="A873" s="13"/>
      <c r="B873" s="14"/>
      <c r="C873" s="39"/>
      <c r="D873" s="39"/>
      <c r="E873" s="36" t="str">
        <f>IF(SUM(C873:D873)=0," ",SUM(C873:D873))</f>
        <v xml:space="preserve"> </v>
      </c>
      <c r="F873" s="14"/>
      <c r="G873" s="120" t="e">
        <f>VLOOKUP($B873,Information!$C$8:$F$15,4,FALSE)</f>
        <v>#N/A</v>
      </c>
      <c r="H873" s="210" t="str">
        <f>TEXT(A873,"ddd")</f>
        <v>Sat</v>
      </c>
    </row>
    <row r="874" spans="1:8" x14ac:dyDescent="0.25">
      <c r="A874" s="13"/>
      <c r="B874" s="14"/>
      <c r="C874" s="39"/>
      <c r="D874" s="39"/>
      <c r="E874" s="36" t="str">
        <f>IF(SUM(C874:D874)=0," ",SUM(C874:D874))</f>
        <v xml:space="preserve"> </v>
      </c>
      <c r="F874" s="14"/>
      <c r="G874" s="120" t="e">
        <f>VLOOKUP($B874,Information!$C$8:$F$15,4,FALSE)</f>
        <v>#N/A</v>
      </c>
      <c r="H874" s="210" t="str">
        <f>TEXT(A874,"ddd")</f>
        <v>Sat</v>
      </c>
    </row>
    <row r="875" spans="1:8" x14ac:dyDescent="0.25">
      <c r="A875" s="13"/>
      <c r="B875" s="14"/>
      <c r="C875" s="39"/>
      <c r="D875" s="39"/>
      <c r="E875" s="36" t="str">
        <f>IF(SUM(C875:D875)=0," ",SUM(C875:D875))</f>
        <v xml:space="preserve"> </v>
      </c>
      <c r="F875" s="14"/>
      <c r="G875" s="120" t="e">
        <f>VLOOKUP($B875,Information!$C$8:$F$15,4,FALSE)</f>
        <v>#N/A</v>
      </c>
      <c r="H875" s="210" t="str">
        <f>TEXT(A875,"ddd")</f>
        <v>Sat</v>
      </c>
    </row>
    <row r="876" spans="1:8" x14ac:dyDescent="0.25">
      <c r="A876" s="13"/>
      <c r="B876" s="14"/>
      <c r="C876" s="39"/>
      <c r="D876" s="39"/>
      <c r="E876" s="36" t="str">
        <f>IF(SUM(C876:D876)=0," ",SUM(C876:D876))</f>
        <v xml:space="preserve"> </v>
      </c>
      <c r="F876" s="14"/>
      <c r="G876" s="120" t="e">
        <f>VLOOKUP($B876,Information!$C$8:$F$15,4,FALSE)</f>
        <v>#N/A</v>
      </c>
      <c r="H876" s="210" t="str">
        <f>TEXT(A876,"ddd")</f>
        <v>Sat</v>
      </c>
    </row>
    <row r="877" spans="1:8" x14ac:dyDescent="0.25">
      <c r="A877" s="13"/>
      <c r="B877" s="14"/>
      <c r="C877" s="39"/>
      <c r="D877" s="39"/>
      <c r="E877" s="36" t="str">
        <f>IF(SUM(C877:D877)=0," ",SUM(C877:D877))</f>
        <v xml:space="preserve"> </v>
      </c>
      <c r="F877" s="14"/>
      <c r="G877" s="120" t="e">
        <f>VLOOKUP($B877,Information!$C$8:$F$15,4,FALSE)</f>
        <v>#N/A</v>
      </c>
      <c r="H877" s="210" t="str">
        <f>TEXT(A877,"ddd")</f>
        <v>Sat</v>
      </c>
    </row>
    <row r="878" spans="1:8" x14ac:dyDescent="0.25">
      <c r="A878" s="13"/>
      <c r="B878" s="14"/>
      <c r="C878" s="39"/>
      <c r="D878" s="39"/>
      <c r="E878" s="36" t="str">
        <f>IF(SUM(C878:D878)=0," ",SUM(C878:D878))</f>
        <v xml:space="preserve"> </v>
      </c>
      <c r="F878" s="14"/>
      <c r="G878" s="120" t="e">
        <f>VLOOKUP($B878,Information!$C$8:$F$15,4,FALSE)</f>
        <v>#N/A</v>
      </c>
      <c r="H878" s="210" t="str">
        <f>TEXT(A878,"ddd")</f>
        <v>Sat</v>
      </c>
    </row>
    <row r="879" spans="1:8" x14ac:dyDescent="0.25">
      <c r="A879" s="13"/>
      <c r="B879" s="14"/>
      <c r="C879" s="39"/>
      <c r="D879" s="39"/>
      <c r="E879" s="36" t="str">
        <f>IF(SUM(C879:D879)=0," ",SUM(C879:D879))</f>
        <v xml:space="preserve"> </v>
      </c>
      <c r="F879" s="14"/>
      <c r="G879" s="120" t="e">
        <f>VLOOKUP($B879,Information!$C$8:$F$15,4,FALSE)</f>
        <v>#N/A</v>
      </c>
      <c r="H879" s="210" t="str">
        <f>TEXT(A879,"ddd")</f>
        <v>Sat</v>
      </c>
    </row>
    <row r="880" spans="1:8" x14ac:dyDescent="0.25">
      <c r="A880" s="13"/>
      <c r="B880" s="14"/>
      <c r="C880" s="39"/>
      <c r="D880" s="39"/>
      <c r="E880" s="36" t="str">
        <f>IF(SUM(C880:D880)=0," ",SUM(C880:D880))</f>
        <v xml:space="preserve"> </v>
      </c>
      <c r="F880" s="14"/>
      <c r="G880" s="120" t="e">
        <f>VLOOKUP($B880,Information!$C$8:$F$15,4,FALSE)</f>
        <v>#N/A</v>
      </c>
      <c r="H880" s="210" t="str">
        <f>TEXT(A880,"ddd")</f>
        <v>Sat</v>
      </c>
    </row>
    <row r="881" spans="1:8" x14ac:dyDescent="0.25">
      <c r="A881" s="13"/>
      <c r="B881" s="14"/>
      <c r="C881" s="39"/>
      <c r="D881" s="39"/>
      <c r="E881" s="36" t="str">
        <f>IF(SUM(C881:D881)=0," ",SUM(C881:D881))</f>
        <v xml:space="preserve"> </v>
      </c>
      <c r="F881" s="14"/>
      <c r="G881" s="120" t="e">
        <f>VLOOKUP($B881,Information!$C$8:$F$15,4,FALSE)</f>
        <v>#N/A</v>
      </c>
      <c r="H881" s="210" t="str">
        <f>TEXT(A881,"ddd")</f>
        <v>Sat</v>
      </c>
    </row>
    <row r="882" spans="1:8" x14ac:dyDescent="0.25">
      <c r="A882" s="13"/>
      <c r="B882" s="14"/>
      <c r="C882" s="39"/>
      <c r="D882" s="39"/>
      <c r="E882" s="36" t="str">
        <f>IF(SUM(C882:D882)=0," ",SUM(C882:D882))</f>
        <v xml:space="preserve"> </v>
      </c>
      <c r="F882" s="14"/>
      <c r="G882" s="120" t="e">
        <f>VLOOKUP($B882,Information!$C$8:$F$15,4,FALSE)</f>
        <v>#N/A</v>
      </c>
      <c r="H882" s="210" t="str">
        <f>TEXT(A882,"ddd")</f>
        <v>Sat</v>
      </c>
    </row>
    <row r="883" spans="1:8" x14ac:dyDescent="0.25">
      <c r="A883" s="13"/>
      <c r="B883" s="14"/>
      <c r="C883" s="39"/>
      <c r="D883" s="39"/>
      <c r="E883" s="36" t="str">
        <f>IF(SUM(C883:D883)=0," ",SUM(C883:D883))</f>
        <v xml:space="preserve"> </v>
      </c>
      <c r="F883" s="14"/>
      <c r="G883" s="120" t="e">
        <f>VLOOKUP($B883,Information!$C$8:$F$15,4,FALSE)</f>
        <v>#N/A</v>
      </c>
      <c r="H883" s="210" t="str">
        <f>TEXT(A883,"ddd")</f>
        <v>Sat</v>
      </c>
    </row>
    <row r="884" spans="1:8" x14ac:dyDescent="0.25">
      <c r="A884" s="13"/>
      <c r="B884" s="14"/>
      <c r="C884" s="39"/>
      <c r="D884" s="39"/>
      <c r="E884" s="36" t="str">
        <f>IF(SUM(C884:D884)=0," ",SUM(C884:D884))</f>
        <v xml:space="preserve"> </v>
      </c>
      <c r="F884" s="14"/>
      <c r="G884" s="120" t="e">
        <f>VLOOKUP($B884,Information!$C$8:$F$15,4,FALSE)</f>
        <v>#N/A</v>
      </c>
      <c r="H884" s="210" t="str">
        <f>TEXT(A884,"ddd")</f>
        <v>Sat</v>
      </c>
    </row>
    <row r="885" spans="1:8" x14ac:dyDescent="0.25">
      <c r="A885" s="13"/>
      <c r="B885" s="14"/>
      <c r="C885" s="39"/>
      <c r="D885" s="39"/>
      <c r="E885" s="36" t="str">
        <f>IF(SUM(C885:D885)=0," ",SUM(C885:D885))</f>
        <v xml:space="preserve"> </v>
      </c>
      <c r="F885" s="14"/>
      <c r="G885" s="120" t="e">
        <f>VLOOKUP($B885,Information!$C$8:$F$15,4,FALSE)</f>
        <v>#N/A</v>
      </c>
      <c r="H885" s="210" t="str">
        <f>TEXT(A885,"ddd")</f>
        <v>Sat</v>
      </c>
    </row>
    <row r="886" spans="1:8" x14ac:dyDescent="0.25">
      <c r="A886" s="13"/>
      <c r="B886" s="14"/>
      <c r="C886" s="39"/>
      <c r="D886" s="39"/>
      <c r="E886" s="36" t="str">
        <f>IF(SUM(C886:D886)=0," ",SUM(C886:D886))</f>
        <v xml:space="preserve"> </v>
      </c>
      <c r="F886" s="14"/>
      <c r="G886" s="120" t="e">
        <f>VLOOKUP($B886,Information!$C$8:$F$15,4,FALSE)</f>
        <v>#N/A</v>
      </c>
      <c r="H886" s="210" t="str">
        <f>TEXT(A886,"ddd")</f>
        <v>Sat</v>
      </c>
    </row>
    <row r="887" spans="1:8" x14ac:dyDescent="0.25">
      <c r="A887" s="13"/>
      <c r="B887" s="14"/>
      <c r="C887" s="39"/>
      <c r="D887" s="39"/>
      <c r="E887" s="36" t="str">
        <f>IF(SUM(C887:D887)=0," ",SUM(C887:D887))</f>
        <v xml:space="preserve"> </v>
      </c>
      <c r="F887" s="14"/>
      <c r="G887" s="120" t="e">
        <f>VLOOKUP($B887,Information!$C$8:$F$15,4,FALSE)</f>
        <v>#N/A</v>
      </c>
      <c r="H887" s="210" t="str">
        <f>TEXT(A887,"ddd")</f>
        <v>Sat</v>
      </c>
    </row>
    <row r="888" spans="1:8" x14ac:dyDescent="0.25">
      <c r="A888" s="13"/>
      <c r="B888" s="14"/>
      <c r="C888" s="39"/>
      <c r="D888" s="39"/>
      <c r="E888" s="36" t="str">
        <f>IF(SUM(C888:D888)=0," ",SUM(C888:D888))</f>
        <v xml:space="preserve"> </v>
      </c>
      <c r="F888" s="14"/>
      <c r="G888" s="120" t="e">
        <f>VLOOKUP($B888,Information!$C$8:$F$15,4,FALSE)</f>
        <v>#N/A</v>
      </c>
      <c r="H888" s="210" t="str">
        <f>TEXT(A888,"ddd")</f>
        <v>Sat</v>
      </c>
    </row>
    <row r="889" spans="1:8" x14ac:dyDescent="0.25">
      <c r="A889" s="13"/>
      <c r="B889" s="14"/>
      <c r="C889" s="39"/>
      <c r="D889" s="39"/>
      <c r="E889" s="36" t="str">
        <f>IF(SUM(C889:D889)=0," ",SUM(C889:D889))</f>
        <v xml:space="preserve"> </v>
      </c>
      <c r="F889" s="14"/>
      <c r="G889" s="120" t="e">
        <f>VLOOKUP($B889,Information!$C$8:$F$15,4,FALSE)</f>
        <v>#N/A</v>
      </c>
      <c r="H889" s="210" t="str">
        <f>TEXT(A889,"ddd")</f>
        <v>Sat</v>
      </c>
    </row>
    <row r="890" spans="1:8" x14ac:dyDescent="0.25">
      <c r="A890" s="13"/>
      <c r="B890" s="14"/>
      <c r="C890" s="39"/>
      <c r="D890" s="39"/>
      <c r="E890" s="36" t="str">
        <f>IF(SUM(C890:D890)=0," ",SUM(C890:D890))</f>
        <v xml:space="preserve"> </v>
      </c>
      <c r="F890" s="14"/>
      <c r="G890" s="120" t="e">
        <f>VLOOKUP($B890,Information!$C$8:$F$15,4,FALSE)</f>
        <v>#N/A</v>
      </c>
      <c r="H890" s="210" t="str">
        <f>TEXT(A890,"ddd")</f>
        <v>Sat</v>
      </c>
    </row>
    <row r="891" spans="1:8" x14ac:dyDescent="0.25">
      <c r="A891" s="13"/>
      <c r="B891" s="14"/>
      <c r="C891" s="39"/>
      <c r="D891" s="39"/>
      <c r="E891" s="36" t="str">
        <f>IF(SUM(C891:D891)=0," ",SUM(C891:D891))</f>
        <v xml:space="preserve"> </v>
      </c>
      <c r="F891" s="14"/>
      <c r="G891" s="120" t="e">
        <f>VLOOKUP($B891,Information!$C$8:$F$15,4,FALSE)</f>
        <v>#N/A</v>
      </c>
      <c r="H891" s="210" t="str">
        <f>TEXT(A891,"ddd")</f>
        <v>Sat</v>
      </c>
    </row>
    <row r="892" spans="1:8" x14ac:dyDescent="0.25">
      <c r="A892" s="13"/>
      <c r="B892" s="14"/>
      <c r="C892" s="39"/>
      <c r="D892" s="39"/>
      <c r="E892" s="36" t="str">
        <f>IF(SUM(C892:D892)=0," ",SUM(C892:D892))</f>
        <v xml:space="preserve"> </v>
      </c>
      <c r="F892" s="14"/>
      <c r="G892" s="120" t="e">
        <f>VLOOKUP($B892,Information!$C$8:$F$15,4,FALSE)</f>
        <v>#N/A</v>
      </c>
      <c r="H892" s="210" t="str">
        <f>TEXT(A892,"ddd")</f>
        <v>Sat</v>
      </c>
    </row>
    <row r="893" spans="1:8" x14ac:dyDescent="0.25">
      <c r="A893" s="13"/>
      <c r="B893" s="14"/>
      <c r="C893" s="39"/>
      <c r="D893" s="39"/>
      <c r="E893" s="36" t="str">
        <f>IF(SUM(C893:D893)=0," ",SUM(C893:D893))</f>
        <v xml:space="preserve"> </v>
      </c>
      <c r="F893" s="14"/>
      <c r="G893" s="120" t="e">
        <f>VLOOKUP($B893,Information!$C$8:$F$15,4,FALSE)</f>
        <v>#N/A</v>
      </c>
      <c r="H893" s="210" t="str">
        <f>TEXT(A893,"ddd")</f>
        <v>Sat</v>
      </c>
    </row>
    <row r="894" spans="1:8" x14ac:dyDescent="0.25">
      <c r="A894" s="13"/>
      <c r="B894" s="14"/>
      <c r="C894" s="39"/>
      <c r="D894" s="39"/>
      <c r="E894" s="36" t="str">
        <f>IF(SUM(C894:D894)=0," ",SUM(C894:D894))</f>
        <v xml:space="preserve"> </v>
      </c>
      <c r="F894" s="14"/>
      <c r="G894" s="120" t="e">
        <f>VLOOKUP($B894,Information!$C$8:$F$15,4,FALSE)</f>
        <v>#N/A</v>
      </c>
      <c r="H894" s="210" t="str">
        <f>TEXT(A894,"ddd")</f>
        <v>Sat</v>
      </c>
    </row>
    <row r="895" spans="1:8" x14ac:dyDescent="0.25">
      <c r="A895" s="13"/>
      <c r="B895" s="14"/>
      <c r="C895" s="39"/>
      <c r="D895" s="39"/>
      <c r="E895" s="36" t="str">
        <f>IF(SUM(C895:D895)=0," ",SUM(C895:D895))</f>
        <v xml:space="preserve"> </v>
      </c>
      <c r="F895" s="14"/>
      <c r="G895" s="120" t="e">
        <f>VLOOKUP($B895,Information!$C$8:$F$15,4,FALSE)</f>
        <v>#N/A</v>
      </c>
      <c r="H895" s="210" t="str">
        <f>TEXT(A895,"ddd")</f>
        <v>Sat</v>
      </c>
    </row>
    <row r="896" spans="1:8" x14ac:dyDescent="0.25">
      <c r="A896" s="13"/>
      <c r="B896" s="14"/>
      <c r="C896" s="39"/>
      <c r="D896" s="39"/>
      <c r="E896" s="36" t="str">
        <f>IF(SUM(C896:D896)=0," ",SUM(C896:D896))</f>
        <v xml:space="preserve"> </v>
      </c>
      <c r="F896" s="14"/>
      <c r="G896" s="120" t="e">
        <f>VLOOKUP($B896,Information!$C$8:$F$15,4,FALSE)</f>
        <v>#N/A</v>
      </c>
      <c r="H896" s="210" t="str">
        <f>TEXT(A896,"ddd")</f>
        <v>Sat</v>
      </c>
    </row>
    <row r="897" spans="1:8" x14ac:dyDescent="0.25">
      <c r="A897" s="13"/>
      <c r="B897" s="14"/>
      <c r="C897" s="39"/>
      <c r="D897" s="39"/>
      <c r="E897" s="36" t="str">
        <f>IF(SUM(C897:D897)=0," ",SUM(C897:D897))</f>
        <v xml:space="preserve"> </v>
      </c>
      <c r="F897" s="14"/>
      <c r="G897" s="120" t="e">
        <f>VLOOKUP($B897,Information!$C$8:$F$15,4,FALSE)</f>
        <v>#N/A</v>
      </c>
      <c r="H897" s="210" t="str">
        <f>TEXT(A897,"ddd")</f>
        <v>Sat</v>
      </c>
    </row>
    <row r="898" spans="1:8" x14ac:dyDescent="0.25">
      <c r="A898" s="13"/>
      <c r="B898" s="14"/>
      <c r="C898" s="39"/>
      <c r="D898" s="39"/>
      <c r="E898" s="36" t="str">
        <f>IF(SUM(C898:D898)=0," ",SUM(C898:D898))</f>
        <v xml:space="preserve"> </v>
      </c>
      <c r="F898" s="14"/>
      <c r="G898" s="120" t="e">
        <f>VLOOKUP($B898,Information!$C$8:$F$15,4,FALSE)</f>
        <v>#N/A</v>
      </c>
      <c r="H898" s="210" t="str">
        <f>TEXT(A898,"ddd")</f>
        <v>Sat</v>
      </c>
    </row>
    <row r="899" spans="1:8" x14ac:dyDescent="0.25">
      <c r="A899" s="13"/>
      <c r="B899" s="14"/>
      <c r="C899" s="39"/>
      <c r="D899" s="39"/>
      <c r="E899" s="36" t="str">
        <f>IF(SUM(C899:D899)=0," ",SUM(C899:D899))</f>
        <v xml:space="preserve"> </v>
      </c>
      <c r="F899" s="14"/>
      <c r="G899" s="120" t="e">
        <f>VLOOKUP($B899,Information!$C$8:$F$15,4,FALSE)</f>
        <v>#N/A</v>
      </c>
      <c r="H899" s="210" t="str">
        <f>TEXT(A899,"ddd")</f>
        <v>Sat</v>
      </c>
    </row>
    <row r="900" spans="1:8" x14ac:dyDescent="0.25">
      <c r="A900" s="13"/>
      <c r="B900" s="14"/>
      <c r="C900" s="39"/>
      <c r="D900" s="39"/>
      <c r="E900" s="36" t="str">
        <f>IF(SUM(C900:D900)=0," ",SUM(C900:D900))</f>
        <v xml:space="preserve"> </v>
      </c>
      <c r="F900" s="14"/>
      <c r="G900" s="120" t="e">
        <f>VLOOKUP($B900,Information!$C$8:$F$15,4,FALSE)</f>
        <v>#N/A</v>
      </c>
      <c r="H900" s="210" t="str">
        <f>TEXT(A900,"ddd")</f>
        <v>Sat</v>
      </c>
    </row>
    <row r="901" spans="1:8" x14ac:dyDescent="0.25">
      <c r="A901" s="13"/>
      <c r="B901" s="14"/>
      <c r="C901" s="39"/>
      <c r="D901" s="39"/>
      <c r="E901" s="36" t="str">
        <f>IF(SUM(C901:D901)=0," ",SUM(C901:D901))</f>
        <v xml:space="preserve"> </v>
      </c>
      <c r="F901" s="14"/>
      <c r="G901" s="120" t="e">
        <f>VLOOKUP($B901,Information!$C$8:$F$15,4,FALSE)</f>
        <v>#N/A</v>
      </c>
      <c r="H901" s="210" t="str">
        <f>TEXT(A901,"ddd")</f>
        <v>Sat</v>
      </c>
    </row>
    <row r="902" spans="1:8" x14ac:dyDescent="0.25">
      <c r="A902" s="13"/>
      <c r="B902" s="14"/>
      <c r="C902" s="39"/>
      <c r="D902" s="39"/>
      <c r="E902" s="36" t="str">
        <f>IF(SUM(C902:D902)=0," ",SUM(C902:D902))</f>
        <v xml:space="preserve"> </v>
      </c>
      <c r="F902" s="14"/>
      <c r="G902" s="120" t="e">
        <f>VLOOKUP($B902,Information!$C$8:$F$15,4,FALSE)</f>
        <v>#N/A</v>
      </c>
      <c r="H902" s="210" t="str">
        <f>TEXT(A902,"ddd")</f>
        <v>Sat</v>
      </c>
    </row>
    <row r="903" spans="1:8" x14ac:dyDescent="0.25">
      <c r="A903" s="13"/>
      <c r="B903" s="14"/>
      <c r="C903" s="39"/>
      <c r="D903" s="39"/>
      <c r="E903" s="36" t="str">
        <f>IF(SUM(C903:D903)=0," ",SUM(C903:D903))</f>
        <v xml:space="preserve"> </v>
      </c>
      <c r="F903" s="14"/>
      <c r="G903" s="120" t="e">
        <f>VLOOKUP($B903,Information!$C$8:$F$15,4,FALSE)</f>
        <v>#N/A</v>
      </c>
      <c r="H903" s="210" t="str">
        <f>TEXT(A903,"ddd")</f>
        <v>Sat</v>
      </c>
    </row>
    <row r="904" spans="1:8" x14ac:dyDescent="0.25">
      <c r="A904" s="13"/>
      <c r="B904" s="14"/>
      <c r="C904" s="39"/>
      <c r="D904" s="39"/>
      <c r="E904" s="36" t="str">
        <f>IF(SUM(C904:D904)=0," ",SUM(C904:D904))</f>
        <v xml:space="preserve"> </v>
      </c>
      <c r="F904" s="14"/>
      <c r="G904" s="120" t="e">
        <f>VLOOKUP($B904,Information!$C$8:$F$15,4,FALSE)</f>
        <v>#N/A</v>
      </c>
      <c r="H904" s="210" t="str">
        <f>TEXT(A904,"ddd")</f>
        <v>Sat</v>
      </c>
    </row>
    <row r="905" spans="1:8" x14ac:dyDescent="0.25">
      <c r="A905" s="13"/>
      <c r="B905" s="14"/>
      <c r="C905" s="39"/>
      <c r="D905" s="39"/>
      <c r="E905" s="36" t="str">
        <f>IF(SUM(C905:D905)=0," ",SUM(C905:D905))</f>
        <v xml:space="preserve"> </v>
      </c>
      <c r="F905" s="14"/>
      <c r="G905" s="120" t="e">
        <f>VLOOKUP($B905,Information!$C$8:$F$15,4,FALSE)</f>
        <v>#N/A</v>
      </c>
      <c r="H905" s="210" t="str">
        <f>TEXT(A905,"ddd")</f>
        <v>Sat</v>
      </c>
    </row>
    <row r="906" spans="1:8" x14ac:dyDescent="0.25">
      <c r="A906" s="13"/>
      <c r="B906" s="14"/>
      <c r="C906" s="39"/>
      <c r="D906" s="39"/>
      <c r="E906" s="36" t="str">
        <f>IF(SUM(C906:D906)=0," ",SUM(C906:D906))</f>
        <v xml:space="preserve"> </v>
      </c>
      <c r="F906" s="14"/>
      <c r="G906" s="120" t="e">
        <f>VLOOKUP($B906,Information!$C$8:$F$15,4,FALSE)</f>
        <v>#N/A</v>
      </c>
      <c r="H906" s="210" t="str">
        <f>TEXT(A906,"ddd")</f>
        <v>Sat</v>
      </c>
    </row>
    <row r="907" spans="1:8" x14ac:dyDescent="0.25">
      <c r="A907" s="13"/>
      <c r="B907" s="14"/>
      <c r="C907" s="39"/>
      <c r="D907" s="39"/>
      <c r="E907" s="36" t="str">
        <f>IF(SUM(C907:D907)=0," ",SUM(C907:D907))</f>
        <v xml:space="preserve"> </v>
      </c>
      <c r="F907" s="14"/>
      <c r="G907" s="120" t="e">
        <f>VLOOKUP($B907,Information!$C$8:$F$15,4,FALSE)</f>
        <v>#N/A</v>
      </c>
      <c r="H907" s="210" t="str">
        <f>TEXT(A907,"ddd")</f>
        <v>Sat</v>
      </c>
    </row>
    <row r="908" spans="1:8" x14ac:dyDescent="0.25">
      <c r="A908" s="13"/>
      <c r="B908" s="14"/>
      <c r="C908" s="39"/>
      <c r="D908" s="39"/>
      <c r="E908" s="36" t="str">
        <f>IF(SUM(C908:D908)=0," ",SUM(C908:D908))</f>
        <v xml:space="preserve"> </v>
      </c>
      <c r="F908" s="14"/>
      <c r="G908" s="120" t="e">
        <f>VLOOKUP($B908,Information!$C$8:$F$15,4,FALSE)</f>
        <v>#N/A</v>
      </c>
      <c r="H908" s="210" t="str">
        <f>TEXT(A908,"ddd")</f>
        <v>Sat</v>
      </c>
    </row>
    <row r="909" spans="1:8" x14ac:dyDescent="0.25">
      <c r="A909" s="15"/>
      <c r="B909" s="14"/>
      <c r="C909" s="37"/>
      <c r="D909" s="37"/>
      <c r="E909" s="36" t="str">
        <f>IF(SUM(C909:D909)=0," ",SUM(C909:D909))</f>
        <v xml:space="preserve"> </v>
      </c>
      <c r="F909" s="17"/>
      <c r="G909" s="120" t="e">
        <f>VLOOKUP($B909,Information!$C$8:$F$15,4,FALSE)</f>
        <v>#N/A</v>
      </c>
      <c r="H909" s="210" t="str">
        <f>TEXT(A909,"ddd")</f>
        <v>Sat</v>
      </c>
    </row>
    <row r="910" spans="1:8" x14ac:dyDescent="0.25">
      <c r="A910" s="13"/>
      <c r="B910" s="14"/>
      <c r="C910" s="39"/>
      <c r="D910" s="39"/>
      <c r="E910" s="36" t="str">
        <f>IF(SUM(C910:D910)=0," ",SUM(C910:D910))</f>
        <v xml:space="preserve"> </v>
      </c>
      <c r="F910" s="14"/>
      <c r="G910" s="120" t="e">
        <f>VLOOKUP($B910,Information!$C$8:$F$15,4,FALSE)</f>
        <v>#N/A</v>
      </c>
      <c r="H910" s="210" t="str">
        <f>TEXT(A910,"ddd")</f>
        <v>Sat</v>
      </c>
    </row>
    <row r="911" spans="1:8" x14ac:dyDescent="0.25">
      <c r="A911" s="13"/>
      <c r="B911" s="14"/>
      <c r="C911" s="39"/>
      <c r="D911" s="39"/>
      <c r="E911" s="36" t="str">
        <f>IF(SUM(C911:D911)=0," ",SUM(C911:D911))</f>
        <v xml:space="preserve"> </v>
      </c>
      <c r="F911" s="14"/>
      <c r="G911" s="120" t="e">
        <f>VLOOKUP($B911,Information!$C$8:$F$15,4,FALSE)</f>
        <v>#N/A</v>
      </c>
      <c r="H911" s="210" t="str">
        <f>TEXT(A911,"ddd")</f>
        <v>Sat</v>
      </c>
    </row>
    <row r="912" spans="1:8" x14ac:dyDescent="0.25">
      <c r="A912" s="13"/>
      <c r="B912" s="14"/>
      <c r="C912" s="39"/>
      <c r="D912" s="39"/>
      <c r="E912" s="36" t="str">
        <f>IF(SUM(C912:D912)=0," ",SUM(C912:D912))</f>
        <v xml:space="preserve"> </v>
      </c>
      <c r="F912" s="14"/>
      <c r="G912" s="120" t="e">
        <f>VLOOKUP($B912,Information!$C$8:$F$15,4,FALSE)</f>
        <v>#N/A</v>
      </c>
      <c r="H912" s="210" t="str">
        <f>TEXT(A912,"ddd")</f>
        <v>Sat</v>
      </c>
    </row>
    <row r="913" spans="1:8" x14ac:dyDescent="0.25">
      <c r="A913" s="13"/>
      <c r="B913" s="14"/>
      <c r="C913" s="39"/>
      <c r="D913" s="39"/>
      <c r="E913" s="36" t="str">
        <f>IF(SUM(C913:D913)=0," ",SUM(C913:D913))</f>
        <v xml:space="preserve"> </v>
      </c>
      <c r="F913" s="14"/>
      <c r="G913" s="120" t="e">
        <f>VLOOKUP($B913,Information!$C$8:$F$15,4,FALSE)</f>
        <v>#N/A</v>
      </c>
      <c r="H913" s="210" t="str">
        <f>TEXT(A913,"ddd")</f>
        <v>Sat</v>
      </c>
    </row>
    <row r="914" spans="1:8" x14ac:dyDescent="0.25">
      <c r="A914" s="13"/>
      <c r="B914" s="14"/>
      <c r="C914" s="39"/>
      <c r="D914" s="39"/>
      <c r="E914" s="36" t="str">
        <f>IF(SUM(C914:D914)=0," ",SUM(C914:D914))</f>
        <v xml:space="preserve"> </v>
      </c>
      <c r="F914" s="14"/>
      <c r="G914" s="120" t="e">
        <f>VLOOKUP($B914,Information!$C$8:$F$15,4,FALSE)</f>
        <v>#N/A</v>
      </c>
      <c r="H914" s="210" t="str">
        <f>TEXT(A914,"ddd")</f>
        <v>Sat</v>
      </c>
    </row>
    <row r="915" spans="1:8" x14ac:dyDescent="0.25">
      <c r="A915" s="13"/>
      <c r="B915" s="14"/>
      <c r="C915" s="39"/>
      <c r="D915" s="39"/>
      <c r="E915" s="36" t="str">
        <f>IF(SUM(C915:D915)=0," ",SUM(C915:D915))</f>
        <v xml:space="preserve"> </v>
      </c>
      <c r="F915" s="14"/>
      <c r="G915" s="120" t="e">
        <f>VLOOKUP($B915,Information!$C$8:$F$15,4,FALSE)</f>
        <v>#N/A</v>
      </c>
      <c r="H915" s="210" t="str">
        <f>TEXT(A915,"ddd")</f>
        <v>Sat</v>
      </c>
    </row>
    <row r="916" spans="1:8" x14ac:dyDescent="0.25">
      <c r="A916" s="13"/>
      <c r="B916" s="14"/>
      <c r="C916" s="39"/>
      <c r="D916" s="39"/>
      <c r="E916" s="36" t="str">
        <f>IF(SUM(C916:D916)=0," ",SUM(C916:D916))</f>
        <v xml:space="preserve"> </v>
      </c>
      <c r="F916" s="14"/>
      <c r="G916" s="120" t="e">
        <f>VLOOKUP($B916,Information!$C$8:$F$15,4,FALSE)</f>
        <v>#N/A</v>
      </c>
      <c r="H916" s="210" t="str">
        <f>TEXT(A916,"ddd")</f>
        <v>Sat</v>
      </c>
    </row>
    <row r="917" spans="1:8" x14ac:dyDescent="0.25">
      <c r="A917" s="13"/>
      <c r="B917" s="14"/>
      <c r="C917" s="39"/>
      <c r="D917" s="39"/>
      <c r="E917" s="36" t="str">
        <f>IF(SUM(C917:D917)=0," ",SUM(C917:D917))</f>
        <v xml:space="preserve"> </v>
      </c>
      <c r="F917" s="14"/>
      <c r="G917" s="120" t="e">
        <f>VLOOKUP($B917,Information!$C$8:$F$15,4,FALSE)</f>
        <v>#N/A</v>
      </c>
      <c r="H917" s="210" t="str">
        <f>TEXT(A917,"ddd")</f>
        <v>Sat</v>
      </c>
    </row>
    <row r="918" spans="1:8" x14ac:dyDescent="0.25">
      <c r="A918" s="13"/>
      <c r="B918" s="14"/>
      <c r="C918" s="39"/>
      <c r="D918" s="39"/>
      <c r="E918" s="36" t="str">
        <f>IF(SUM(C918:D918)=0," ",SUM(C918:D918))</f>
        <v xml:space="preserve"> </v>
      </c>
      <c r="F918" s="14"/>
      <c r="G918" s="120" t="e">
        <f>VLOOKUP($B918,Information!$C$8:$F$15,4,FALSE)</f>
        <v>#N/A</v>
      </c>
      <c r="H918" s="210" t="str">
        <f>TEXT(A918,"ddd")</f>
        <v>Sat</v>
      </c>
    </row>
    <row r="919" spans="1:8" x14ac:dyDescent="0.25">
      <c r="A919" s="13"/>
      <c r="B919" s="14"/>
      <c r="C919" s="39"/>
      <c r="D919" s="39"/>
      <c r="E919" s="36" t="str">
        <f>IF(SUM(C919:D919)=0," ",SUM(C919:D919))</f>
        <v xml:space="preserve"> </v>
      </c>
      <c r="F919" s="14"/>
      <c r="G919" s="120" t="e">
        <f>VLOOKUP($B919,Information!$C$8:$F$15,4,FALSE)</f>
        <v>#N/A</v>
      </c>
      <c r="H919" s="210" t="str">
        <f>TEXT(A919,"ddd")</f>
        <v>Sat</v>
      </c>
    </row>
    <row r="920" spans="1:8" x14ac:dyDescent="0.25">
      <c r="A920" s="13"/>
      <c r="B920" s="14"/>
      <c r="C920" s="39"/>
      <c r="D920" s="39"/>
      <c r="E920" s="36" t="str">
        <f>IF(SUM(C920:D920)=0," ",SUM(C920:D920))</f>
        <v xml:space="preserve"> </v>
      </c>
      <c r="F920" s="14"/>
      <c r="G920" s="120" t="e">
        <f>VLOOKUP($B920,Information!$C$8:$F$15,4,FALSE)</f>
        <v>#N/A</v>
      </c>
      <c r="H920" s="210" t="str">
        <f>TEXT(A920,"ddd")</f>
        <v>Sat</v>
      </c>
    </row>
    <row r="921" spans="1:8" x14ac:dyDescent="0.25">
      <c r="A921" s="13"/>
      <c r="B921" s="14"/>
      <c r="C921" s="39"/>
      <c r="D921" s="39"/>
      <c r="E921" s="36" t="str">
        <f>IF(SUM(C921:D921)=0," ",SUM(C921:D921))</f>
        <v xml:space="preserve"> </v>
      </c>
      <c r="F921" s="14"/>
      <c r="G921" s="120" t="e">
        <f>VLOOKUP($B921,Information!$C$8:$F$15,4,FALSE)</f>
        <v>#N/A</v>
      </c>
      <c r="H921" s="210" t="str">
        <f>TEXT(A921,"ddd")</f>
        <v>Sat</v>
      </c>
    </row>
    <row r="922" spans="1:8" x14ac:dyDescent="0.25">
      <c r="A922" s="13"/>
      <c r="B922" s="14"/>
      <c r="C922" s="39"/>
      <c r="D922" s="39"/>
      <c r="E922" s="36" t="str">
        <f>IF(SUM(C922:D922)=0," ",SUM(C922:D922))</f>
        <v xml:space="preserve"> </v>
      </c>
      <c r="F922" s="14"/>
      <c r="G922" s="120" t="e">
        <f>VLOOKUP($B922,Information!$C$8:$F$15,4,FALSE)</f>
        <v>#N/A</v>
      </c>
      <c r="H922" s="210" t="str">
        <f>TEXT(A922,"ddd")</f>
        <v>Sat</v>
      </c>
    </row>
    <row r="923" spans="1:8" x14ac:dyDescent="0.25">
      <c r="A923" s="13"/>
      <c r="B923" s="14"/>
      <c r="C923" s="39"/>
      <c r="D923" s="39"/>
      <c r="E923" s="36" t="str">
        <f>IF(SUM(C923:D923)=0," ",SUM(C923:D923))</f>
        <v xml:space="preserve"> </v>
      </c>
      <c r="F923" s="14"/>
      <c r="G923" s="120" t="e">
        <f>VLOOKUP($B923,Information!$C$8:$F$15,4,FALSE)</f>
        <v>#N/A</v>
      </c>
      <c r="H923" s="210" t="str">
        <f>TEXT(A923,"ddd")</f>
        <v>Sat</v>
      </c>
    </row>
    <row r="924" spans="1:8" x14ac:dyDescent="0.25">
      <c r="A924" s="13"/>
      <c r="B924" s="14"/>
      <c r="C924" s="39"/>
      <c r="D924" s="39"/>
      <c r="E924" s="36" t="str">
        <f>IF(SUM(C924:D924)=0," ",SUM(C924:D924))</f>
        <v xml:space="preserve"> </v>
      </c>
      <c r="F924" s="14"/>
      <c r="G924" s="120" t="e">
        <f>VLOOKUP($B924,Information!$C$8:$F$15,4,FALSE)</f>
        <v>#N/A</v>
      </c>
      <c r="H924" s="210" t="str">
        <f>TEXT(A924,"ddd")</f>
        <v>Sat</v>
      </c>
    </row>
    <row r="925" spans="1:8" x14ac:dyDescent="0.25">
      <c r="A925" s="13"/>
      <c r="B925" s="14"/>
      <c r="C925" s="39"/>
      <c r="D925" s="39"/>
      <c r="E925" s="36" t="str">
        <f>IF(SUM(C925:D925)=0," ",SUM(C925:D925))</f>
        <v xml:space="preserve"> </v>
      </c>
      <c r="F925" s="14"/>
      <c r="G925" s="120" t="e">
        <f>VLOOKUP($B925,Information!$C$8:$F$15,4,FALSE)</f>
        <v>#N/A</v>
      </c>
      <c r="H925" s="210" t="str">
        <f>TEXT(A925,"ddd")</f>
        <v>Sat</v>
      </c>
    </row>
    <row r="926" spans="1:8" x14ac:dyDescent="0.25">
      <c r="A926" s="13"/>
      <c r="B926" s="14"/>
      <c r="C926" s="39"/>
      <c r="D926" s="39"/>
      <c r="E926" s="36" t="str">
        <f>IF(SUM(C926:D926)=0," ",SUM(C926:D926))</f>
        <v xml:space="preserve"> </v>
      </c>
      <c r="F926" s="14"/>
      <c r="G926" s="120" t="e">
        <f>VLOOKUP($B926,Information!$C$8:$F$15,4,FALSE)</f>
        <v>#N/A</v>
      </c>
      <c r="H926" s="210" t="str">
        <f>TEXT(A926,"ddd")</f>
        <v>Sat</v>
      </c>
    </row>
    <row r="927" spans="1:8" x14ac:dyDescent="0.25">
      <c r="A927" s="13"/>
      <c r="B927" s="14"/>
      <c r="C927" s="39"/>
      <c r="D927" s="39"/>
      <c r="E927" s="36" t="str">
        <f>IF(SUM(C927:D927)=0," ",SUM(C927:D927))</f>
        <v xml:space="preserve"> </v>
      </c>
      <c r="F927" s="14"/>
      <c r="G927" s="120" t="e">
        <f>VLOOKUP($B927,Information!$C$8:$F$15,4,FALSE)</f>
        <v>#N/A</v>
      </c>
      <c r="H927" s="210" t="str">
        <f>TEXT(A927,"ddd")</f>
        <v>Sat</v>
      </c>
    </row>
    <row r="928" spans="1:8" x14ac:dyDescent="0.25">
      <c r="A928" s="13"/>
      <c r="B928" s="14"/>
      <c r="C928" s="39"/>
      <c r="D928" s="39"/>
      <c r="E928" s="36" t="str">
        <f>IF(SUM(C928:D928)=0," ",SUM(C928:D928))</f>
        <v xml:space="preserve"> </v>
      </c>
      <c r="F928" s="14"/>
      <c r="G928" s="120" t="e">
        <f>VLOOKUP($B928,Information!$C$8:$F$15,4,FALSE)</f>
        <v>#N/A</v>
      </c>
      <c r="H928" s="210" t="str">
        <f>TEXT(A928,"ddd")</f>
        <v>Sat</v>
      </c>
    </row>
    <row r="929" spans="1:8" ht="13.8" customHeight="1" x14ac:dyDescent="0.3">
      <c r="A929" s="15"/>
      <c r="B929" s="14"/>
      <c r="C929" s="37"/>
      <c r="D929" s="37"/>
      <c r="E929" s="36" t="str">
        <f>IF(SUM(C929:D929)=0," ",SUM(C929:D929))</f>
        <v xml:space="preserve"> </v>
      </c>
      <c r="F929" s="18"/>
      <c r="G929" s="120" t="e">
        <f>VLOOKUP($B929,Information!$C$8:$F$15,4,FALSE)</f>
        <v>#N/A</v>
      </c>
      <c r="H929" s="210" t="str">
        <f>TEXT(A929,"ddd")</f>
        <v>Sat</v>
      </c>
    </row>
    <row r="930" spans="1:8" x14ac:dyDescent="0.25">
      <c r="A930" s="13"/>
      <c r="B930" s="14"/>
      <c r="C930" s="39"/>
      <c r="D930" s="39"/>
      <c r="E930" s="36" t="str">
        <f>IF(SUM(C930:D930)=0," ",SUM(C930:D930))</f>
        <v xml:space="preserve"> </v>
      </c>
      <c r="F930" s="14"/>
      <c r="G930" s="120" t="e">
        <f>VLOOKUP($B930,Information!$C$8:$F$15,4,FALSE)</f>
        <v>#N/A</v>
      </c>
      <c r="H930" s="210" t="str">
        <f>TEXT(A930,"ddd")</f>
        <v>Sat</v>
      </c>
    </row>
    <row r="931" spans="1:8" x14ac:dyDescent="0.25">
      <c r="A931" s="13"/>
      <c r="B931" s="14"/>
      <c r="C931" s="39"/>
      <c r="D931" s="39"/>
      <c r="E931" s="36" t="str">
        <f>IF(SUM(C931:D931)=0," ",SUM(C931:D931))</f>
        <v xml:space="preserve"> </v>
      </c>
      <c r="F931" s="14"/>
      <c r="G931" s="120" t="e">
        <f>VLOOKUP($B931,Information!$C$8:$F$15,4,FALSE)</f>
        <v>#N/A</v>
      </c>
      <c r="H931" s="210" t="str">
        <f>TEXT(A931,"ddd")</f>
        <v>Sat</v>
      </c>
    </row>
    <row r="932" spans="1:8" x14ac:dyDescent="0.25">
      <c r="A932" s="13"/>
      <c r="B932" s="14"/>
      <c r="C932" s="39"/>
      <c r="D932" s="39"/>
      <c r="E932" s="36" t="str">
        <f>IF(SUM(C932:D932)=0," ",SUM(C932:D932))</f>
        <v xml:space="preserve"> </v>
      </c>
      <c r="F932" s="14"/>
      <c r="G932" s="120" t="e">
        <f>VLOOKUP($B932,Information!$C$8:$F$15,4,FALSE)</f>
        <v>#N/A</v>
      </c>
      <c r="H932" s="210" t="str">
        <f>TEXT(A932,"ddd")</f>
        <v>Sat</v>
      </c>
    </row>
    <row r="933" spans="1:8" x14ac:dyDescent="0.25">
      <c r="A933" s="15"/>
      <c r="B933" s="14"/>
      <c r="C933" s="37"/>
      <c r="D933" s="37"/>
      <c r="E933" s="36" t="str">
        <f>IF(SUM(C933:D933)=0," ",SUM(C933:D933))</f>
        <v xml:space="preserve"> </v>
      </c>
      <c r="F933" s="17"/>
      <c r="G933" s="120" t="e">
        <f>VLOOKUP($B933,Information!$C$8:$F$15,4,FALSE)</f>
        <v>#N/A</v>
      </c>
      <c r="H933" s="210" t="str">
        <f>TEXT(A933,"ddd")</f>
        <v>Sat</v>
      </c>
    </row>
    <row r="934" spans="1:8" x14ac:dyDescent="0.25">
      <c r="A934" s="13"/>
      <c r="B934" s="14"/>
      <c r="C934" s="39"/>
      <c r="D934" s="39"/>
      <c r="E934" s="36" t="str">
        <f>IF(SUM(C934:D934)=0," ",SUM(C934:D934))</f>
        <v xml:space="preserve"> </v>
      </c>
      <c r="F934" s="14"/>
      <c r="G934" s="120" t="e">
        <f>VLOOKUP($B934,Information!$C$8:$F$15,4,FALSE)</f>
        <v>#N/A</v>
      </c>
      <c r="H934" s="210" t="str">
        <f>TEXT(A934,"ddd")</f>
        <v>Sat</v>
      </c>
    </row>
    <row r="935" spans="1:8" ht="13.8" customHeight="1" x14ac:dyDescent="0.3">
      <c r="A935" s="15"/>
      <c r="B935" s="14"/>
      <c r="C935" s="37"/>
      <c r="D935" s="37"/>
      <c r="E935" s="36" t="str">
        <f>IF(SUM(C935:D935)=0," ",SUM(C935:D935))</f>
        <v xml:space="preserve"> </v>
      </c>
      <c r="F935" s="18"/>
      <c r="G935" s="120" t="e">
        <f>VLOOKUP($B935,Information!$C$8:$F$15,4,FALSE)</f>
        <v>#N/A</v>
      </c>
      <c r="H935" s="210" t="str">
        <f>TEXT(A935,"ddd")</f>
        <v>Sat</v>
      </c>
    </row>
    <row r="936" spans="1:8" x14ac:dyDescent="0.25">
      <c r="A936" s="13"/>
      <c r="B936" s="14"/>
      <c r="C936" s="39"/>
      <c r="D936" s="39"/>
      <c r="E936" s="36" t="str">
        <f>IF(SUM(C936:D936)=0," ",SUM(C936:D936))</f>
        <v xml:space="preserve"> </v>
      </c>
      <c r="F936" s="14"/>
      <c r="G936" s="120" t="e">
        <f>VLOOKUP($B936,Information!$C$8:$F$15,4,FALSE)</f>
        <v>#N/A</v>
      </c>
      <c r="H936" s="210" t="str">
        <f>TEXT(A936,"ddd")</f>
        <v>Sat</v>
      </c>
    </row>
    <row r="937" spans="1:8" x14ac:dyDescent="0.25">
      <c r="A937" s="13"/>
      <c r="B937" s="14"/>
      <c r="C937" s="39"/>
      <c r="D937" s="39"/>
      <c r="E937" s="36" t="str">
        <f>IF(SUM(C937:D937)=0," ",SUM(C937:D937))</f>
        <v xml:space="preserve"> </v>
      </c>
      <c r="F937" s="14"/>
      <c r="G937" s="120" t="e">
        <f>VLOOKUP($B937,Information!$C$8:$F$15,4,FALSE)</f>
        <v>#N/A</v>
      </c>
      <c r="H937" s="210" t="str">
        <f>TEXT(A937,"ddd")</f>
        <v>Sat</v>
      </c>
    </row>
    <row r="938" spans="1:8" x14ac:dyDescent="0.25">
      <c r="A938" s="13"/>
      <c r="B938" s="14"/>
      <c r="C938" s="39"/>
      <c r="D938" s="39"/>
      <c r="E938" s="36" t="str">
        <f>IF(SUM(C938:D938)=0," ",SUM(C938:D938))</f>
        <v xml:space="preserve"> </v>
      </c>
      <c r="F938" s="14"/>
      <c r="G938" s="120" t="e">
        <f>VLOOKUP($B938,Information!$C$8:$F$15,4,FALSE)</f>
        <v>#N/A</v>
      </c>
      <c r="H938" s="210" t="str">
        <f>TEXT(A938,"ddd")</f>
        <v>Sat</v>
      </c>
    </row>
    <row r="939" spans="1:8" x14ac:dyDescent="0.25">
      <c r="A939" s="13"/>
      <c r="B939" s="14"/>
      <c r="C939" s="39"/>
      <c r="D939" s="39"/>
      <c r="E939" s="36" t="str">
        <f>IF(SUM(C939:D939)=0," ",SUM(C939:D939))</f>
        <v xml:space="preserve"> </v>
      </c>
      <c r="F939" s="14"/>
      <c r="G939" s="120" t="e">
        <f>VLOOKUP($B939,Information!$C$8:$F$15,4,FALSE)</f>
        <v>#N/A</v>
      </c>
      <c r="H939" s="210" t="str">
        <f>TEXT(A939,"ddd")</f>
        <v>Sat</v>
      </c>
    </row>
    <row r="940" spans="1:8" x14ac:dyDescent="0.25">
      <c r="A940" s="13"/>
      <c r="B940" s="14"/>
      <c r="C940" s="39"/>
      <c r="D940" s="39"/>
      <c r="E940" s="36" t="str">
        <f>IF(SUM(C940:D940)=0," ",SUM(C940:D940))</f>
        <v xml:space="preserve"> </v>
      </c>
      <c r="F940" s="14"/>
      <c r="G940" s="120" t="e">
        <f>VLOOKUP($B940,Information!$C$8:$F$15,4,FALSE)</f>
        <v>#N/A</v>
      </c>
      <c r="H940" s="210" t="str">
        <f>TEXT(A940,"ddd")</f>
        <v>Sat</v>
      </c>
    </row>
    <row r="941" spans="1:8" x14ac:dyDescent="0.25">
      <c r="A941" s="13"/>
      <c r="B941" s="14"/>
      <c r="C941" s="39"/>
      <c r="D941" s="39"/>
      <c r="E941" s="36" t="str">
        <f>IF(SUM(C941:D941)=0," ",SUM(C941:D941))</f>
        <v xml:space="preserve"> </v>
      </c>
      <c r="F941" s="14"/>
      <c r="G941" s="120" t="e">
        <f>VLOOKUP($B941,Information!$C$8:$F$15,4,FALSE)</f>
        <v>#N/A</v>
      </c>
      <c r="H941" s="210" t="str">
        <f>TEXT(A941,"ddd")</f>
        <v>Sat</v>
      </c>
    </row>
    <row r="942" spans="1:8" x14ac:dyDescent="0.25">
      <c r="A942" s="13"/>
      <c r="B942" s="14"/>
      <c r="C942" s="39"/>
      <c r="D942" s="39"/>
      <c r="E942" s="36" t="str">
        <f>IF(SUM(C942:D942)=0," ",SUM(C942:D942))</f>
        <v xml:space="preserve"> </v>
      </c>
      <c r="F942" s="14"/>
      <c r="G942" s="120" t="e">
        <f>VLOOKUP($B942,Information!$C$8:$F$15,4,FALSE)</f>
        <v>#N/A</v>
      </c>
      <c r="H942" s="210" t="str">
        <f>TEXT(A942,"ddd")</f>
        <v>Sat</v>
      </c>
    </row>
    <row r="943" spans="1:8" x14ac:dyDescent="0.25">
      <c r="A943" s="13"/>
      <c r="B943" s="14"/>
      <c r="C943" s="39"/>
      <c r="D943" s="39"/>
      <c r="E943" s="36" t="str">
        <f>IF(SUM(C943:D943)=0," ",SUM(C943:D943))</f>
        <v xml:space="preserve"> </v>
      </c>
      <c r="F943" s="14"/>
      <c r="G943" s="120" t="e">
        <f>VLOOKUP($B943,Information!$C$8:$F$15,4,FALSE)</f>
        <v>#N/A</v>
      </c>
      <c r="H943" s="210" t="str">
        <f>TEXT(A943,"ddd")</f>
        <v>Sat</v>
      </c>
    </row>
    <row r="944" spans="1:8" ht="13.8" customHeight="1" x14ac:dyDescent="0.3">
      <c r="A944" s="15"/>
      <c r="B944" s="14"/>
      <c r="C944" s="37"/>
      <c r="D944" s="37"/>
      <c r="E944" s="36" t="str">
        <f>IF(SUM(C944:D944)=0," ",SUM(C944:D944))</f>
        <v xml:space="preserve"> </v>
      </c>
      <c r="F944" s="18"/>
      <c r="G944" s="120" t="e">
        <f>VLOOKUP($B944,Information!$C$8:$F$15,4,FALSE)</f>
        <v>#N/A</v>
      </c>
      <c r="H944" s="210" t="str">
        <f>TEXT(A944,"ddd")</f>
        <v>Sat</v>
      </c>
    </row>
    <row r="945" spans="1:8" x14ac:dyDescent="0.25">
      <c r="A945" s="13"/>
      <c r="B945" s="14"/>
      <c r="C945" s="39"/>
      <c r="D945" s="39"/>
      <c r="E945" s="36" t="str">
        <f>IF(SUM(C945:D945)=0," ",SUM(C945:D945))</f>
        <v xml:space="preserve"> </v>
      </c>
      <c r="F945" s="14"/>
      <c r="G945" s="120" t="e">
        <f>VLOOKUP($B945,Information!$C$8:$F$15,4,FALSE)</f>
        <v>#N/A</v>
      </c>
      <c r="H945" s="210" t="str">
        <f>TEXT(A945,"ddd")</f>
        <v>Sat</v>
      </c>
    </row>
    <row r="946" spans="1:8" x14ac:dyDescent="0.25">
      <c r="A946" s="13"/>
      <c r="B946" s="14"/>
      <c r="C946" s="39"/>
      <c r="D946" s="39"/>
      <c r="E946" s="36" t="str">
        <f>IF(SUM(C946:D946)=0," ",SUM(C946:D946))</f>
        <v xml:space="preserve"> </v>
      </c>
      <c r="F946" s="14"/>
      <c r="G946" s="120" t="e">
        <f>VLOOKUP($B946,Information!$C$8:$F$15,4,FALSE)</f>
        <v>#N/A</v>
      </c>
      <c r="H946" s="210" t="str">
        <f>TEXT(A946,"ddd")</f>
        <v>Sat</v>
      </c>
    </row>
    <row r="947" spans="1:8" x14ac:dyDescent="0.25">
      <c r="A947" s="15"/>
      <c r="B947" s="14"/>
      <c r="C947" s="37"/>
      <c r="D947" s="37"/>
      <c r="E947" s="36" t="str">
        <f>IF(SUM(C947:D947)=0," ",SUM(C947:D947))</f>
        <v xml:space="preserve"> </v>
      </c>
      <c r="F947" s="17"/>
      <c r="G947" s="120" t="e">
        <f>VLOOKUP($B947,Information!$C$8:$F$15,4,FALSE)</f>
        <v>#N/A</v>
      </c>
      <c r="H947" s="210" t="str">
        <f>TEXT(A947,"ddd")</f>
        <v>Sat</v>
      </c>
    </row>
    <row r="948" spans="1:8" x14ac:dyDescent="0.25">
      <c r="A948" s="13"/>
      <c r="B948" s="14"/>
      <c r="C948" s="39"/>
      <c r="D948" s="39"/>
      <c r="E948" s="36" t="str">
        <f>IF(SUM(C948:D948)=0," ",SUM(C948:D948))</f>
        <v xml:space="preserve"> </v>
      </c>
      <c r="F948" s="14"/>
      <c r="G948" s="120" t="e">
        <f>VLOOKUP($B948,Information!$C$8:$F$15,4,FALSE)</f>
        <v>#N/A</v>
      </c>
      <c r="H948" s="210" t="str">
        <f>TEXT(A948,"ddd")</f>
        <v>Sat</v>
      </c>
    </row>
    <row r="949" spans="1:8" x14ac:dyDescent="0.25">
      <c r="A949" s="143"/>
      <c r="B949" s="14"/>
      <c r="C949" s="37"/>
      <c r="D949" s="37"/>
      <c r="E949" s="36" t="str">
        <f>IF(SUM(C949:D949)=0," ",SUM(C949:D949))</f>
        <v xml:space="preserve"> </v>
      </c>
      <c r="F949" s="17"/>
      <c r="G949" s="120" t="e">
        <f>VLOOKUP($B949,Information!$C$8:$F$15,4,FALSE)</f>
        <v>#N/A</v>
      </c>
      <c r="H949" s="210" t="str">
        <f>TEXT(A949,"ddd")</f>
        <v>Sat</v>
      </c>
    </row>
    <row r="950" spans="1:8" x14ac:dyDescent="0.25">
      <c r="A950" s="13"/>
      <c r="B950" s="14"/>
      <c r="C950" s="39"/>
      <c r="D950" s="39"/>
      <c r="E950" s="36" t="str">
        <f>IF(SUM(C950:D950)=0," ",SUM(C950:D950))</f>
        <v xml:space="preserve"> </v>
      </c>
      <c r="F950" s="14"/>
      <c r="G950" s="120" t="e">
        <f>VLOOKUP($B950,Information!$C$8:$F$15,4,FALSE)</f>
        <v>#N/A</v>
      </c>
      <c r="H950" s="210" t="str">
        <f>TEXT(A950,"ddd")</f>
        <v>Sat</v>
      </c>
    </row>
    <row r="951" spans="1:8" x14ac:dyDescent="0.25">
      <c r="A951" s="13"/>
      <c r="B951" s="14"/>
      <c r="C951" s="39"/>
      <c r="D951" s="39"/>
      <c r="E951" s="36" t="str">
        <f>IF(SUM(C951:D951)=0," ",SUM(C951:D951))</f>
        <v xml:space="preserve"> </v>
      </c>
      <c r="F951" s="14"/>
      <c r="G951" s="120" t="e">
        <f>VLOOKUP($B951,Information!$C$8:$F$15,4,FALSE)</f>
        <v>#N/A</v>
      </c>
      <c r="H951" s="210" t="str">
        <f>TEXT(A951,"ddd")</f>
        <v>Sat</v>
      </c>
    </row>
    <row r="952" spans="1:8" x14ac:dyDescent="0.25">
      <c r="A952" s="13"/>
      <c r="B952" s="14"/>
      <c r="C952" s="39"/>
      <c r="D952" s="39"/>
      <c r="E952" s="36" t="str">
        <f>IF(SUM(C952:D952)=0," ",SUM(C952:D952))</f>
        <v xml:space="preserve"> </v>
      </c>
      <c r="F952" s="14"/>
      <c r="G952" s="120" t="e">
        <f>VLOOKUP($B952,Information!$C$8:$F$15,4,FALSE)</f>
        <v>#N/A</v>
      </c>
      <c r="H952" s="210" t="str">
        <f>TEXT(A952,"ddd")</f>
        <v>Sat</v>
      </c>
    </row>
    <row r="953" spans="1:8" x14ac:dyDescent="0.25">
      <c r="A953" s="13"/>
      <c r="B953" s="14"/>
      <c r="C953" s="39"/>
      <c r="D953" s="39"/>
      <c r="E953" s="36" t="str">
        <f>IF(SUM(C953:D953)=0," ",SUM(C953:D953))</f>
        <v xml:space="preserve"> </v>
      </c>
      <c r="F953" s="14"/>
      <c r="G953" s="120" t="e">
        <f>VLOOKUP($B953,Information!$C$8:$F$15,4,FALSE)</f>
        <v>#N/A</v>
      </c>
      <c r="H953" s="210" t="str">
        <f>TEXT(A953,"ddd")</f>
        <v>Sat</v>
      </c>
    </row>
    <row r="954" spans="1:8" x14ac:dyDescent="0.25">
      <c r="A954" s="13"/>
      <c r="B954" s="14"/>
      <c r="C954" s="39"/>
      <c r="D954" s="39"/>
      <c r="E954" s="36" t="str">
        <f>IF(SUM(C954:D954)=0," ",SUM(C954:D954))</f>
        <v xml:space="preserve"> </v>
      </c>
      <c r="F954" s="14"/>
      <c r="G954" s="120" t="e">
        <f>VLOOKUP($B954,Information!$C$8:$F$15,4,FALSE)</f>
        <v>#N/A</v>
      </c>
      <c r="H954" s="210" t="str">
        <f>TEXT(A954,"ddd")</f>
        <v>Sat</v>
      </c>
    </row>
    <row r="955" spans="1:8" x14ac:dyDescent="0.25">
      <c r="A955" s="13"/>
      <c r="B955" s="14"/>
      <c r="C955" s="39"/>
      <c r="D955" s="39"/>
      <c r="E955" s="36" t="str">
        <f>IF(SUM(C955:D955)=0," ",SUM(C955:D955))</f>
        <v xml:space="preserve"> </v>
      </c>
      <c r="F955" s="14"/>
      <c r="G955" s="120" t="e">
        <f>VLOOKUP($B955,Information!$C$8:$F$15,4,FALSE)</f>
        <v>#N/A</v>
      </c>
      <c r="H955" s="210" t="str">
        <f>TEXT(A955,"ddd")</f>
        <v>Sat</v>
      </c>
    </row>
    <row r="956" spans="1:8" x14ac:dyDescent="0.25">
      <c r="A956" s="13"/>
      <c r="B956" s="14"/>
      <c r="C956" s="39"/>
      <c r="D956" s="39"/>
      <c r="E956" s="36" t="str">
        <f>IF(SUM(C956:D956)=0," ",SUM(C956:D956))</f>
        <v xml:space="preserve"> </v>
      </c>
      <c r="F956" s="14"/>
      <c r="G956" s="120" t="e">
        <f>VLOOKUP($B956,Information!$C$8:$F$15,4,FALSE)</f>
        <v>#N/A</v>
      </c>
      <c r="H956" s="210" t="str">
        <f>TEXT(A956,"ddd")</f>
        <v>Sat</v>
      </c>
    </row>
    <row r="957" spans="1:8" x14ac:dyDescent="0.25">
      <c r="A957" s="13"/>
      <c r="B957" s="14"/>
      <c r="C957" s="39"/>
      <c r="D957" s="39"/>
      <c r="E957" s="36" t="str">
        <f>IF(SUM(C957:D957)=0," ",SUM(C957:D957))</f>
        <v xml:space="preserve"> </v>
      </c>
      <c r="F957" s="14"/>
      <c r="G957" s="120" t="e">
        <f>VLOOKUP($B957,Information!$C$8:$F$15,4,FALSE)</f>
        <v>#N/A</v>
      </c>
      <c r="H957" s="210" t="str">
        <f>TEXT(A957,"ddd")</f>
        <v>Sat</v>
      </c>
    </row>
    <row r="958" spans="1:8" x14ac:dyDescent="0.25">
      <c r="A958" s="13"/>
      <c r="B958" s="14"/>
      <c r="C958" s="39"/>
      <c r="D958" s="39"/>
      <c r="E958" s="36" t="str">
        <f>IF(SUM(C958:D958)=0," ",SUM(C958:D958))</f>
        <v xml:space="preserve"> </v>
      </c>
      <c r="F958" s="14"/>
      <c r="G958" s="120" t="e">
        <f>VLOOKUP($B958,Information!$C$8:$F$15,4,FALSE)</f>
        <v>#N/A</v>
      </c>
      <c r="H958" s="210" t="str">
        <f>TEXT(A958,"ddd")</f>
        <v>Sat</v>
      </c>
    </row>
    <row r="959" spans="1:8" x14ac:dyDescent="0.25">
      <c r="A959" s="13"/>
      <c r="B959" s="14"/>
      <c r="C959" s="39"/>
      <c r="D959" s="39"/>
      <c r="E959" s="36" t="str">
        <f>IF(SUM(C959:D959)=0," ",SUM(C959:D959))</f>
        <v xml:space="preserve"> </v>
      </c>
      <c r="F959" s="14"/>
      <c r="G959" s="120" t="e">
        <f>VLOOKUP($B959,Information!$C$8:$F$15,4,FALSE)</f>
        <v>#N/A</v>
      </c>
      <c r="H959" s="210" t="str">
        <f>TEXT(A959,"ddd")</f>
        <v>Sat</v>
      </c>
    </row>
    <row r="960" spans="1:8" x14ac:dyDescent="0.25">
      <c r="A960" s="13"/>
      <c r="B960" s="14"/>
      <c r="C960" s="39"/>
      <c r="D960" s="39"/>
      <c r="E960" s="36" t="str">
        <f>IF(SUM(C960:D960)=0," ",SUM(C960:D960))</f>
        <v xml:space="preserve"> </v>
      </c>
      <c r="F960" s="14"/>
      <c r="G960" s="120" t="e">
        <f>VLOOKUP($B960,Information!$C$8:$F$15,4,FALSE)</f>
        <v>#N/A</v>
      </c>
      <c r="H960" s="210" t="str">
        <f>TEXT(A960,"ddd")</f>
        <v>Sat</v>
      </c>
    </row>
    <row r="961" spans="1:8" x14ac:dyDescent="0.25">
      <c r="A961" s="13"/>
      <c r="B961" s="14"/>
      <c r="C961" s="39"/>
      <c r="D961" s="39"/>
      <c r="E961" s="36" t="str">
        <f>IF(SUM(C961:D961)=0," ",SUM(C961:D961))</f>
        <v xml:space="preserve"> </v>
      </c>
      <c r="F961" s="14"/>
      <c r="G961" s="120" t="e">
        <f>VLOOKUP($B961,Information!$C$8:$F$15,4,FALSE)</f>
        <v>#N/A</v>
      </c>
      <c r="H961" s="210" t="str">
        <f>TEXT(A961,"ddd")</f>
        <v>Sat</v>
      </c>
    </row>
    <row r="962" spans="1:8" x14ac:dyDescent="0.25">
      <c r="A962" s="13"/>
      <c r="B962" s="14"/>
      <c r="C962" s="39"/>
      <c r="D962" s="39"/>
      <c r="E962" s="36" t="str">
        <f>IF(SUM(C962:D962)=0," ",SUM(C962:D962))</f>
        <v xml:space="preserve"> </v>
      </c>
      <c r="F962" s="14"/>
      <c r="G962" s="120" t="e">
        <f>VLOOKUP($B962,Information!$C$8:$F$15,4,FALSE)</f>
        <v>#N/A</v>
      </c>
      <c r="H962" s="210" t="str">
        <f>TEXT(A962,"ddd")</f>
        <v>Sat</v>
      </c>
    </row>
    <row r="963" spans="1:8" x14ac:dyDescent="0.25">
      <c r="A963" s="13"/>
      <c r="B963" s="14"/>
      <c r="C963" s="39"/>
      <c r="D963" s="39"/>
      <c r="E963" s="36" t="str">
        <f>IF(SUM(C963:D963)=0," ",SUM(C963:D963))</f>
        <v xml:space="preserve"> </v>
      </c>
      <c r="F963" s="14"/>
      <c r="G963" s="120" t="e">
        <f>VLOOKUP($B963,Information!$C$8:$F$15,4,FALSE)</f>
        <v>#N/A</v>
      </c>
      <c r="H963" s="210" t="str">
        <f>TEXT(A963,"ddd")</f>
        <v>Sat</v>
      </c>
    </row>
    <row r="964" spans="1:8" x14ac:dyDescent="0.25">
      <c r="A964" s="13"/>
      <c r="B964" s="14"/>
      <c r="C964" s="39"/>
      <c r="D964" s="39"/>
      <c r="E964" s="36" t="str">
        <f>IF(SUM(C964:D964)=0," ",SUM(C964:D964))</f>
        <v xml:space="preserve"> </v>
      </c>
      <c r="F964" s="14"/>
      <c r="G964" s="120" t="e">
        <f>VLOOKUP($B964,Information!$C$8:$F$15,4,FALSE)</f>
        <v>#N/A</v>
      </c>
      <c r="H964" s="210" t="str">
        <f>TEXT(A964,"ddd")</f>
        <v>Sat</v>
      </c>
    </row>
    <row r="965" spans="1:8" x14ac:dyDescent="0.25">
      <c r="A965" s="13"/>
      <c r="B965" s="14"/>
      <c r="C965" s="39"/>
      <c r="D965" s="39"/>
      <c r="E965" s="36" t="str">
        <f>IF(SUM(C965:D965)=0," ",SUM(C965:D965))</f>
        <v xml:space="preserve"> </v>
      </c>
      <c r="F965" s="14"/>
      <c r="G965" s="120" t="e">
        <f>VLOOKUP($B965,Information!$C$8:$F$15,4,FALSE)</f>
        <v>#N/A</v>
      </c>
      <c r="H965" s="210" t="str">
        <f>TEXT(A965,"ddd")</f>
        <v>Sat</v>
      </c>
    </row>
    <row r="966" spans="1:8" x14ac:dyDescent="0.25">
      <c r="A966" s="13"/>
      <c r="B966" s="14"/>
      <c r="C966" s="39"/>
      <c r="D966" s="39"/>
      <c r="E966" s="36" t="str">
        <f>IF(SUM(C966:D966)=0," ",SUM(C966:D966))</f>
        <v xml:space="preserve"> </v>
      </c>
      <c r="F966" s="14"/>
      <c r="G966" s="120" t="e">
        <f>VLOOKUP($B966,Information!$C$8:$F$15,4,FALSE)</f>
        <v>#N/A</v>
      </c>
      <c r="H966" s="210" t="str">
        <f>TEXT(A966,"ddd")</f>
        <v>Sat</v>
      </c>
    </row>
    <row r="967" spans="1:8" x14ac:dyDescent="0.25">
      <c r="A967" s="13"/>
      <c r="B967" s="14"/>
      <c r="C967" s="39"/>
      <c r="D967" s="39"/>
      <c r="E967" s="36" t="str">
        <f>IF(SUM(C967:D967)=0," ",SUM(C967:D967))</f>
        <v xml:space="preserve"> </v>
      </c>
      <c r="F967" s="14"/>
      <c r="G967" s="120" t="e">
        <f>VLOOKUP($B967,Information!$C$8:$F$15,4,FALSE)</f>
        <v>#N/A</v>
      </c>
      <c r="H967" s="210" t="str">
        <f>TEXT(A967,"ddd")</f>
        <v>Sat</v>
      </c>
    </row>
    <row r="968" spans="1:8" x14ac:dyDescent="0.25">
      <c r="A968" s="13"/>
      <c r="B968" s="14"/>
      <c r="C968" s="39"/>
      <c r="D968" s="39"/>
      <c r="E968" s="36" t="str">
        <f>IF(SUM(C968:D968)=0," ",SUM(C968:D968))</f>
        <v xml:space="preserve"> </v>
      </c>
      <c r="F968" s="14"/>
      <c r="G968" s="120" t="e">
        <f>VLOOKUP($B968,Information!$C$8:$F$15,4,FALSE)</f>
        <v>#N/A</v>
      </c>
      <c r="H968" s="210" t="str">
        <f>TEXT(A968,"ddd")</f>
        <v>Sat</v>
      </c>
    </row>
    <row r="969" spans="1:8" x14ac:dyDescent="0.25">
      <c r="A969" s="13"/>
      <c r="B969" s="14"/>
      <c r="C969" s="39"/>
      <c r="D969" s="39"/>
      <c r="E969" s="36" t="str">
        <f>IF(SUM(C969:D969)=0," ",SUM(C969:D969))</f>
        <v xml:space="preserve"> </v>
      </c>
      <c r="F969" s="14"/>
      <c r="G969" s="120" t="e">
        <f>VLOOKUP($B969,Information!$C$8:$F$15,4,FALSE)</f>
        <v>#N/A</v>
      </c>
      <c r="H969" s="210" t="str">
        <f>TEXT(A969,"ddd")</f>
        <v>Sat</v>
      </c>
    </row>
    <row r="970" spans="1:8" x14ac:dyDescent="0.25">
      <c r="A970" s="13"/>
      <c r="B970" s="14"/>
      <c r="C970" s="39"/>
      <c r="D970" s="39"/>
      <c r="E970" s="36" t="str">
        <f>IF(SUM(C970:D970)=0," ",SUM(C970:D970))</f>
        <v xml:space="preserve"> </v>
      </c>
      <c r="F970" s="14"/>
      <c r="G970" s="120" t="e">
        <f>VLOOKUP($B970,Information!$C$8:$F$15,4,FALSE)</f>
        <v>#N/A</v>
      </c>
      <c r="H970" s="210" t="str">
        <f>TEXT(A970,"ddd")</f>
        <v>Sat</v>
      </c>
    </row>
    <row r="971" spans="1:8" x14ac:dyDescent="0.25">
      <c r="A971" s="13"/>
      <c r="B971" s="14"/>
      <c r="C971" s="39"/>
      <c r="D971" s="39"/>
      <c r="E971" s="36" t="str">
        <f>IF(SUM(C971:D971)=0," ",SUM(C971:D971))</f>
        <v xml:space="preserve"> </v>
      </c>
      <c r="F971" s="14"/>
      <c r="G971" s="120" t="e">
        <f>VLOOKUP($B971,Information!$C$8:$F$15,4,FALSE)</f>
        <v>#N/A</v>
      </c>
      <c r="H971" s="210" t="str">
        <f>TEXT(A971,"ddd")</f>
        <v>Sat</v>
      </c>
    </row>
    <row r="972" spans="1:8" x14ac:dyDescent="0.25">
      <c r="A972" s="13"/>
      <c r="B972" s="14"/>
      <c r="C972" s="39"/>
      <c r="D972" s="39"/>
      <c r="E972" s="36" t="str">
        <f>IF(SUM(C972:D972)=0," ",SUM(C972:D972))</f>
        <v xml:space="preserve"> </v>
      </c>
      <c r="F972" s="14"/>
      <c r="G972" s="120" t="e">
        <f>VLOOKUP($B972,Information!$C$8:$F$15,4,FALSE)</f>
        <v>#N/A</v>
      </c>
      <c r="H972" s="210" t="str">
        <f>TEXT(A972,"ddd")</f>
        <v>Sat</v>
      </c>
    </row>
    <row r="973" spans="1:8" x14ac:dyDescent="0.25">
      <c r="A973" s="13"/>
      <c r="B973" s="14"/>
      <c r="C973" s="39"/>
      <c r="D973" s="39"/>
      <c r="E973" s="36" t="str">
        <f>IF(SUM(C973:D973)=0," ",SUM(C973:D973))</f>
        <v xml:space="preserve"> </v>
      </c>
      <c r="F973" s="14"/>
      <c r="G973" s="120" t="e">
        <f>VLOOKUP($B973,Information!$C$8:$F$15,4,FALSE)</f>
        <v>#N/A</v>
      </c>
      <c r="H973" s="210" t="str">
        <f>TEXT(A973,"ddd")</f>
        <v>Sat</v>
      </c>
    </row>
    <row r="974" spans="1:8" x14ac:dyDescent="0.25">
      <c r="A974" s="13"/>
      <c r="B974" s="14"/>
      <c r="C974" s="39"/>
      <c r="D974" s="39"/>
      <c r="E974" s="36" t="str">
        <f>IF(SUM(C974:D974)=0," ",SUM(C974:D974))</f>
        <v xml:space="preserve"> </v>
      </c>
      <c r="F974" s="14"/>
      <c r="G974" s="120" t="e">
        <f>VLOOKUP($B974,Information!$C$8:$F$15,4,FALSE)</f>
        <v>#N/A</v>
      </c>
      <c r="H974" s="210" t="str">
        <f>TEXT(A974,"ddd")</f>
        <v>Sat</v>
      </c>
    </row>
    <row r="975" spans="1:8" x14ac:dyDescent="0.25">
      <c r="A975" s="13"/>
      <c r="B975" s="14"/>
      <c r="C975" s="39"/>
      <c r="D975" s="39"/>
      <c r="E975" s="36" t="str">
        <f>IF(SUM(C975:D975)=0," ",SUM(C975:D975))</f>
        <v xml:space="preserve"> </v>
      </c>
      <c r="F975" s="14"/>
      <c r="G975" s="120" t="e">
        <f>VLOOKUP($B975,Information!$C$8:$F$15,4,FALSE)</f>
        <v>#N/A</v>
      </c>
      <c r="H975" s="210" t="str">
        <f>TEXT(A975,"ddd")</f>
        <v>Sat</v>
      </c>
    </row>
    <row r="976" spans="1:8" x14ac:dyDescent="0.25">
      <c r="A976" s="13"/>
      <c r="B976" s="14"/>
      <c r="C976" s="39"/>
      <c r="D976" s="39"/>
      <c r="E976" s="36" t="str">
        <f>IF(SUM(C976:D976)=0," ",SUM(C976:D976))</f>
        <v xml:space="preserve"> </v>
      </c>
      <c r="F976" s="14"/>
      <c r="G976" s="120" t="e">
        <f>VLOOKUP($B976,Information!$C$8:$F$15,4,FALSE)</f>
        <v>#N/A</v>
      </c>
      <c r="H976" s="210" t="str">
        <f>TEXT(A976,"ddd")</f>
        <v>Sat</v>
      </c>
    </row>
    <row r="977" spans="1:8" x14ac:dyDescent="0.25">
      <c r="A977" s="13"/>
      <c r="B977" s="14"/>
      <c r="C977" s="39"/>
      <c r="D977" s="39"/>
      <c r="E977" s="36" t="str">
        <f>IF(SUM(C977:D977)=0," ",SUM(C977:D977))</f>
        <v xml:space="preserve"> </v>
      </c>
      <c r="F977" s="14"/>
      <c r="G977" s="120" t="e">
        <f>VLOOKUP($B977,Information!$C$8:$F$15,4,FALSE)</f>
        <v>#N/A</v>
      </c>
      <c r="H977" s="210" t="str">
        <f>TEXT(A977,"ddd")</f>
        <v>Sat</v>
      </c>
    </row>
    <row r="978" spans="1:8" x14ac:dyDescent="0.25">
      <c r="A978" s="13"/>
      <c r="B978" s="14"/>
      <c r="C978" s="39"/>
      <c r="D978" s="39"/>
      <c r="E978" s="36" t="str">
        <f>IF(SUM(C978:D978)=0," ",SUM(C978:D978))</f>
        <v xml:space="preserve"> </v>
      </c>
      <c r="F978" s="14"/>
      <c r="G978" s="120" t="e">
        <f>VLOOKUP($B978,Information!$C$8:$F$15,4,FALSE)</f>
        <v>#N/A</v>
      </c>
      <c r="H978" s="210" t="str">
        <f>TEXT(A978,"ddd")</f>
        <v>Sat</v>
      </c>
    </row>
    <row r="979" spans="1:8" x14ac:dyDescent="0.25">
      <c r="A979" s="13"/>
      <c r="B979" s="14"/>
      <c r="C979" s="39"/>
      <c r="D979" s="39"/>
      <c r="E979" s="36" t="str">
        <f>IF(SUM(C979:D979)=0," ",SUM(C979:D979))</f>
        <v xml:space="preserve"> </v>
      </c>
      <c r="F979" s="14"/>
      <c r="G979" s="120" t="e">
        <f>VLOOKUP($B979,Information!$C$8:$F$15,4,FALSE)</f>
        <v>#N/A</v>
      </c>
      <c r="H979" s="210" t="str">
        <f>TEXT(A979,"ddd")</f>
        <v>Sat</v>
      </c>
    </row>
    <row r="980" spans="1:8" x14ac:dyDescent="0.25">
      <c r="A980" s="13"/>
      <c r="B980" s="14"/>
      <c r="C980" s="39"/>
      <c r="D980" s="39"/>
      <c r="E980" s="36" t="str">
        <f>IF(SUM(C980:D980)=0," ",SUM(C980:D980))</f>
        <v xml:space="preserve"> </v>
      </c>
      <c r="F980" s="14"/>
      <c r="G980" s="120" t="e">
        <f>VLOOKUP($B980,Information!$C$8:$F$15,4,FALSE)</f>
        <v>#N/A</v>
      </c>
      <c r="H980" s="210" t="str">
        <f>TEXT(A980,"ddd")</f>
        <v>Sat</v>
      </c>
    </row>
    <row r="981" spans="1:8" x14ac:dyDescent="0.25">
      <c r="A981" s="13"/>
      <c r="B981" s="14"/>
      <c r="C981" s="39"/>
      <c r="D981" s="39"/>
      <c r="E981" s="36" t="str">
        <f>IF(SUM(C981:D981)=0," ",SUM(C981:D981))</f>
        <v xml:space="preserve"> </v>
      </c>
      <c r="F981" s="14"/>
      <c r="G981" s="120" t="e">
        <f>VLOOKUP($B981,Information!$C$8:$F$15,4,FALSE)</f>
        <v>#N/A</v>
      </c>
      <c r="H981" s="210" t="str">
        <f>TEXT(A981,"ddd")</f>
        <v>Sat</v>
      </c>
    </row>
    <row r="982" spans="1:8" x14ac:dyDescent="0.25">
      <c r="A982" s="13"/>
      <c r="B982" s="14"/>
      <c r="C982" s="39"/>
      <c r="D982" s="39"/>
      <c r="E982" s="36" t="str">
        <f>IF(SUM(C982:D982)=0," ",SUM(C982:D982))</f>
        <v xml:space="preserve"> </v>
      </c>
      <c r="F982" s="14"/>
      <c r="G982" s="120" t="e">
        <f>VLOOKUP($B982,Information!$C$8:$F$15,4,FALSE)</f>
        <v>#N/A</v>
      </c>
      <c r="H982" s="210" t="str">
        <f>TEXT(A982,"ddd")</f>
        <v>Sat</v>
      </c>
    </row>
    <row r="983" spans="1:8" x14ac:dyDescent="0.25">
      <c r="A983" s="13"/>
      <c r="B983" s="14"/>
      <c r="C983" s="39"/>
      <c r="D983" s="39"/>
      <c r="E983" s="36" t="str">
        <f>IF(SUM(C983:D983)=0," ",SUM(C983:D983))</f>
        <v xml:space="preserve"> </v>
      </c>
      <c r="F983" s="14"/>
      <c r="G983" s="120" t="e">
        <f>VLOOKUP($B983,Information!$C$8:$F$15,4,FALSE)</f>
        <v>#N/A</v>
      </c>
      <c r="H983" s="210" t="str">
        <f>TEXT(A983,"ddd")</f>
        <v>Sat</v>
      </c>
    </row>
    <row r="984" spans="1:8" x14ac:dyDescent="0.25">
      <c r="A984" s="13"/>
      <c r="B984" s="14"/>
      <c r="C984" s="39"/>
      <c r="D984" s="39"/>
      <c r="E984" s="36" t="str">
        <f>IF(SUM(C984:D984)=0," ",SUM(C984:D984))</f>
        <v xml:space="preserve"> </v>
      </c>
      <c r="F984" s="14"/>
      <c r="G984" s="120" t="e">
        <f>VLOOKUP($B984,Information!$C$8:$F$15,4,FALSE)</f>
        <v>#N/A</v>
      </c>
      <c r="H984" s="210" t="str">
        <f>TEXT(A984,"ddd")</f>
        <v>Sat</v>
      </c>
    </row>
    <row r="985" spans="1:8" x14ac:dyDescent="0.25">
      <c r="A985" s="13"/>
      <c r="B985" s="14"/>
      <c r="C985" s="39"/>
      <c r="D985" s="39"/>
      <c r="E985" s="36" t="str">
        <f>IF(SUM(C985:D985)=0," ",SUM(C985:D985))</f>
        <v xml:space="preserve"> </v>
      </c>
      <c r="F985" s="14"/>
      <c r="G985" s="120" t="e">
        <f>VLOOKUP($B985,Information!$C$8:$F$15,4,FALSE)</f>
        <v>#N/A</v>
      </c>
      <c r="H985" s="210" t="str">
        <f>TEXT(A985,"ddd")</f>
        <v>Sat</v>
      </c>
    </row>
    <row r="986" spans="1:8" x14ac:dyDescent="0.25">
      <c r="A986" s="13"/>
      <c r="B986" s="14"/>
      <c r="C986" s="39"/>
      <c r="D986" s="39"/>
      <c r="E986" s="36" t="str">
        <f>IF(SUM(C986:D986)=0," ",SUM(C986:D986))</f>
        <v xml:space="preserve"> </v>
      </c>
      <c r="F986" s="14"/>
      <c r="G986" s="120" t="e">
        <f>VLOOKUP($B986,Information!$C$8:$F$15,4,FALSE)</f>
        <v>#N/A</v>
      </c>
      <c r="H986" s="210" t="str">
        <f>TEXT(A986,"ddd")</f>
        <v>Sat</v>
      </c>
    </row>
    <row r="987" spans="1:8" x14ac:dyDescent="0.25">
      <c r="A987" s="13"/>
      <c r="B987" s="14"/>
      <c r="C987" s="39"/>
      <c r="D987" s="39"/>
      <c r="E987" s="36" t="str">
        <f>IF(SUM(C987:D987)=0," ",SUM(C987:D987))</f>
        <v xml:space="preserve"> </v>
      </c>
      <c r="F987" s="14"/>
      <c r="G987" s="120" t="e">
        <f>VLOOKUP($B987,Information!$C$8:$F$15,4,FALSE)</f>
        <v>#N/A</v>
      </c>
      <c r="H987" s="210" t="str">
        <f>TEXT(A987,"ddd")</f>
        <v>Sat</v>
      </c>
    </row>
    <row r="988" spans="1:8" x14ac:dyDescent="0.25">
      <c r="A988" s="13"/>
      <c r="B988" s="14"/>
      <c r="C988" s="39"/>
      <c r="D988" s="39"/>
      <c r="E988" s="36" t="str">
        <f>IF(SUM(C988:D988)=0," ",SUM(C988:D988))</f>
        <v xml:space="preserve"> </v>
      </c>
      <c r="F988" s="14"/>
      <c r="G988" s="120" t="e">
        <f>VLOOKUP($B988,Information!$C$8:$F$15,4,FALSE)</f>
        <v>#N/A</v>
      </c>
      <c r="H988" s="210" t="str">
        <f>TEXT(A988,"ddd")</f>
        <v>Sat</v>
      </c>
    </row>
    <row r="989" spans="1:8" x14ac:dyDescent="0.25">
      <c r="A989" s="13"/>
      <c r="B989" s="14"/>
      <c r="C989" s="39"/>
      <c r="D989" s="39"/>
      <c r="E989" s="36" t="str">
        <f>IF(SUM(C989:D989)=0," ",SUM(C989:D989))</f>
        <v xml:space="preserve"> </v>
      </c>
      <c r="F989" s="14"/>
      <c r="G989" s="120" t="e">
        <f>VLOOKUP($B989,Information!$C$8:$F$15,4,FALSE)</f>
        <v>#N/A</v>
      </c>
      <c r="H989" s="210" t="str">
        <f>TEXT(A989,"ddd")</f>
        <v>Sat</v>
      </c>
    </row>
    <row r="990" spans="1:8" x14ac:dyDescent="0.25">
      <c r="A990" s="13"/>
      <c r="B990" s="14"/>
      <c r="C990" s="39"/>
      <c r="D990" s="39"/>
      <c r="E990" s="36" t="str">
        <f>IF(SUM(C990:D990)=0," ",SUM(C990:D990))</f>
        <v xml:space="preserve"> </v>
      </c>
      <c r="F990" s="14"/>
      <c r="G990" s="120" t="e">
        <f>VLOOKUP($B990,Information!$C$8:$F$15,4,FALSE)</f>
        <v>#N/A</v>
      </c>
      <c r="H990" s="210" t="str">
        <f>TEXT(A990,"ddd")</f>
        <v>Sat</v>
      </c>
    </row>
    <row r="991" spans="1:8" x14ac:dyDescent="0.25">
      <c r="A991" s="13"/>
      <c r="B991" s="14"/>
      <c r="C991" s="39"/>
      <c r="D991" s="39"/>
      <c r="E991" s="36" t="str">
        <f>IF(SUM(C991:D991)=0," ",SUM(C991:D991))</f>
        <v xml:space="preserve"> </v>
      </c>
      <c r="F991" s="14"/>
      <c r="G991" s="120" t="e">
        <f>VLOOKUP($B991,Information!$C$8:$F$15,4,FALSE)</f>
        <v>#N/A</v>
      </c>
      <c r="H991" s="210" t="str">
        <f>TEXT(A991,"ddd")</f>
        <v>Sat</v>
      </c>
    </row>
    <row r="992" spans="1:8" x14ac:dyDescent="0.25">
      <c r="A992" s="13"/>
      <c r="B992" s="14"/>
      <c r="C992" s="39"/>
      <c r="D992" s="39"/>
      <c r="E992" s="36" t="str">
        <f>IF(SUM(C992:D992)=0," ",SUM(C992:D992))</f>
        <v xml:space="preserve"> </v>
      </c>
      <c r="F992" s="14"/>
      <c r="G992" s="120" t="e">
        <f>VLOOKUP($B992,Information!$C$8:$F$15,4,FALSE)</f>
        <v>#N/A</v>
      </c>
      <c r="H992" s="210" t="str">
        <f>TEXT(A992,"ddd")</f>
        <v>Sat</v>
      </c>
    </row>
    <row r="993" spans="1:8" x14ac:dyDescent="0.25">
      <c r="A993" s="13"/>
      <c r="B993" s="14"/>
      <c r="C993" s="39"/>
      <c r="D993" s="39"/>
      <c r="E993" s="36" t="str">
        <f>IF(SUM(C993:D993)=0," ",SUM(C993:D993))</f>
        <v xml:space="preserve"> </v>
      </c>
      <c r="F993" s="14"/>
      <c r="G993" s="120" t="e">
        <f>VLOOKUP($B993,Information!$C$8:$F$15,4,FALSE)</f>
        <v>#N/A</v>
      </c>
      <c r="H993" s="210" t="str">
        <f>TEXT(A993,"ddd")</f>
        <v>Sat</v>
      </c>
    </row>
    <row r="994" spans="1:8" x14ac:dyDescent="0.25">
      <c r="A994" s="13"/>
      <c r="B994" s="14"/>
      <c r="C994" s="39"/>
      <c r="D994" s="39"/>
      <c r="E994" s="36" t="str">
        <f>IF(SUM(C994:D994)=0," ",SUM(C994:D994))</f>
        <v xml:space="preserve"> </v>
      </c>
      <c r="F994" s="14"/>
      <c r="G994" s="120" t="e">
        <f>VLOOKUP($B994,Information!$C$8:$F$15,4,FALSE)</f>
        <v>#N/A</v>
      </c>
      <c r="H994" s="210" t="str">
        <f>TEXT(A994,"ddd")</f>
        <v>Sat</v>
      </c>
    </row>
    <row r="995" spans="1:8" x14ac:dyDescent="0.25">
      <c r="A995" s="13"/>
      <c r="B995" s="14"/>
      <c r="C995" s="39"/>
      <c r="D995" s="39"/>
      <c r="E995" s="36" t="str">
        <f>IF(SUM(C995:D995)=0," ",SUM(C995:D995))</f>
        <v xml:space="preserve"> </v>
      </c>
      <c r="F995" s="14"/>
      <c r="G995" s="120" t="e">
        <f>VLOOKUP($B995,Information!$C$8:$F$15,4,FALSE)</f>
        <v>#N/A</v>
      </c>
      <c r="H995" s="210" t="str">
        <f>TEXT(A995,"ddd")</f>
        <v>Sat</v>
      </c>
    </row>
    <row r="996" spans="1:8" x14ac:dyDescent="0.25">
      <c r="A996" s="13"/>
      <c r="B996" s="14"/>
      <c r="C996" s="39"/>
      <c r="D996" s="39"/>
      <c r="E996" s="36" t="str">
        <f>IF(SUM(C996:D996)=0," ",SUM(C996:D996))</f>
        <v xml:space="preserve"> </v>
      </c>
      <c r="F996" s="14"/>
      <c r="G996" s="120" t="e">
        <f>VLOOKUP($B996,Information!$C$8:$F$15,4,FALSE)</f>
        <v>#N/A</v>
      </c>
      <c r="H996" s="210" t="str">
        <f>TEXT(A996,"ddd")</f>
        <v>Sat</v>
      </c>
    </row>
    <row r="997" spans="1:8" x14ac:dyDescent="0.25">
      <c r="A997" s="13"/>
      <c r="B997" s="14"/>
      <c r="C997" s="39"/>
      <c r="D997" s="39"/>
      <c r="E997" s="36" t="str">
        <f>IF(SUM(C997:D997)=0," ",SUM(C997:D997))</f>
        <v xml:space="preserve"> </v>
      </c>
      <c r="F997" s="14"/>
      <c r="G997" s="120" t="e">
        <f>VLOOKUP($B997,Information!$C$8:$F$15,4,FALSE)</f>
        <v>#N/A</v>
      </c>
      <c r="H997" s="210" t="str">
        <f>TEXT(A997,"ddd")</f>
        <v>Sat</v>
      </c>
    </row>
    <row r="998" spans="1:8" x14ac:dyDescent="0.25">
      <c r="A998" s="13"/>
      <c r="B998" s="14"/>
      <c r="C998" s="39"/>
      <c r="D998" s="39"/>
      <c r="E998" s="36" t="str">
        <f>IF(SUM(C998:D998)=0," ",SUM(C998:D998))</f>
        <v xml:space="preserve"> </v>
      </c>
      <c r="F998" s="14"/>
      <c r="G998" s="120" t="e">
        <f>VLOOKUP($B998,Information!$C$8:$F$15,4,FALSE)</f>
        <v>#N/A</v>
      </c>
      <c r="H998" s="210" t="str">
        <f>TEXT(A998,"ddd")</f>
        <v>Sat</v>
      </c>
    </row>
    <row r="999" spans="1:8" x14ac:dyDescent="0.25">
      <c r="A999" s="13"/>
      <c r="B999" s="14"/>
      <c r="C999" s="39"/>
      <c r="D999" s="39"/>
      <c r="E999" s="36" t="str">
        <f>IF(SUM(C999:D999)=0," ",SUM(C999:D999))</f>
        <v xml:space="preserve"> </v>
      </c>
      <c r="F999" s="14"/>
      <c r="G999" s="120" t="e">
        <f>VLOOKUP($B999,Information!$C$8:$F$15,4,FALSE)</f>
        <v>#N/A</v>
      </c>
      <c r="H999" s="210" t="str">
        <f>TEXT(A999,"ddd")</f>
        <v>Sat</v>
      </c>
    </row>
    <row r="1000" spans="1:8" x14ac:dyDescent="0.25">
      <c r="A1000" s="13"/>
      <c r="B1000" s="14"/>
      <c r="C1000" s="39"/>
      <c r="D1000" s="39"/>
      <c r="E1000" s="36" t="str">
        <f>IF(SUM(C1000:D1000)=0," ",SUM(C1000:D1000))</f>
        <v xml:space="preserve"> </v>
      </c>
      <c r="F1000" s="14"/>
      <c r="G1000" s="120" t="e">
        <f>VLOOKUP($B1000,Information!$C$8:$F$15,4,FALSE)</f>
        <v>#N/A</v>
      </c>
      <c r="H1000" s="210" t="str">
        <f>TEXT(A1000,"ddd")</f>
        <v>Sat</v>
      </c>
    </row>
    <row r="1001" spans="1:8" x14ac:dyDescent="0.25">
      <c r="A1001" s="13"/>
      <c r="B1001" s="14"/>
      <c r="C1001" s="39"/>
      <c r="D1001" s="39"/>
      <c r="E1001" s="36" t="str">
        <f>IF(SUM(C1001:D1001)=0," ",SUM(C1001:D1001))</f>
        <v xml:space="preserve"> </v>
      </c>
      <c r="F1001" s="14"/>
      <c r="G1001" s="120" t="e">
        <f>VLOOKUP($B1001,Information!$C$8:$F$15,4,FALSE)</f>
        <v>#N/A</v>
      </c>
      <c r="H1001" s="210" t="str">
        <f>TEXT(A1001,"ddd")</f>
        <v>Sat</v>
      </c>
    </row>
    <row r="1002" spans="1:8" x14ac:dyDescent="0.25">
      <c r="A1002" s="13"/>
      <c r="B1002" s="14"/>
      <c r="C1002" s="39"/>
      <c r="D1002" s="39"/>
      <c r="E1002" s="36" t="str">
        <f>IF(SUM(C1002:D1002)=0," ",SUM(C1002:D1002))</f>
        <v xml:space="preserve"> </v>
      </c>
      <c r="F1002" s="14"/>
      <c r="G1002" s="120" t="e">
        <f>VLOOKUP($B1002,Information!$C$8:$F$15,4,FALSE)</f>
        <v>#N/A</v>
      </c>
      <c r="H1002" s="210" t="str">
        <f>TEXT(A1002,"ddd")</f>
        <v>Sat</v>
      </c>
    </row>
    <row r="1003" spans="1:8" x14ac:dyDescent="0.25">
      <c r="A1003" s="13"/>
      <c r="B1003" s="14"/>
      <c r="C1003" s="39"/>
      <c r="D1003" s="39"/>
      <c r="E1003" s="36" t="str">
        <f>IF(SUM(C1003:D1003)=0," ",SUM(C1003:D1003))</f>
        <v xml:space="preserve"> </v>
      </c>
      <c r="F1003" s="14"/>
      <c r="G1003" s="120" t="e">
        <f>VLOOKUP($B1003,Information!$C$8:$F$15,4,FALSE)</f>
        <v>#N/A</v>
      </c>
      <c r="H1003" s="210" t="str">
        <f>TEXT(A1003,"ddd")</f>
        <v>Sat</v>
      </c>
    </row>
    <row r="1004" spans="1:8" x14ac:dyDescent="0.25">
      <c r="A1004" s="13"/>
      <c r="B1004" s="14"/>
      <c r="C1004" s="39"/>
      <c r="D1004" s="39"/>
      <c r="E1004" s="36" t="str">
        <f>IF(SUM(C1004:D1004)=0," ",SUM(C1004:D1004))</f>
        <v xml:space="preserve"> </v>
      </c>
      <c r="F1004" s="14"/>
      <c r="G1004" s="120" t="e">
        <f>VLOOKUP($B1004,Information!$C$8:$F$15,4,FALSE)</f>
        <v>#N/A</v>
      </c>
      <c r="H1004" s="210" t="str">
        <f>TEXT(A1004,"ddd")</f>
        <v>Sat</v>
      </c>
    </row>
    <row r="1005" spans="1:8" x14ac:dyDescent="0.25">
      <c r="A1005" s="13"/>
      <c r="B1005" s="14"/>
      <c r="C1005" s="39"/>
      <c r="D1005" s="39"/>
      <c r="E1005" s="36" t="str">
        <f>IF(SUM(C1005:D1005)=0," ",SUM(C1005:D1005))</f>
        <v xml:space="preserve"> </v>
      </c>
      <c r="F1005" s="14"/>
      <c r="G1005" s="120" t="e">
        <f>VLOOKUP($B1005,Information!$C$8:$F$15,4,FALSE)</f>
        <v>#N/A</v>
      </c>
      <c r="H1005" s="210" t="str">
        <f>TEXT(A1005,"ddd")</f>
        <v>Sat</v>
      </c>
    </row>
    <row r="1006" spans="1:8" x14ac:dyDescent="0.25">
      <c r="A1006" s="13"/>
      <c r="B1006" s="14"/>
      <c r="C1006" s="39"/>
      <c r="D1006" s="39"/>
      <c r="E1006" s="36" t="str">
        <f>IF(SUM(C1006:D1006)=0," ",SUM(C1006:D1006))</f>
        <v xml:space="preserve"> </v>
      </c>
      <c r="F1006" s="14"/>
      <c r="G1006" s="120" t="e">
        <f>VLOOKUP($B1006,Information!$C$8:$F$15,4,FALSE)</f>
        <v>#N/A</v>
      </c>
      <c r="H1006" s="210" t="str">
        <f>TEXT(A1006,"ddd")</f>
        <v>Sat</v>
      </c>
    </row>
    <row r="1007" spans="1:8" x14ac:dyDescent="0.25">
      <c r="A1007" s="13"/>
      <c r="B1007" s="14"/>
      <c r="C1007" s="39"/>
      <c r="D1007" s="39"/>
      <c r="E1007" s="36" t="str">
        <f>IF(SUM(C1007:D1007)=0," ",SUM(C1007:D1007))</f>
        <v xml:space="preserve"> </v>
      </c>
      <c r="F1007" s="14"/>
      <c r="G1007" s="120" t="e">
        <f>VLOOKUP($B1007,Information!$C$8:$F$15,4,FALSE)</f>
        <v>#N/A</v>
      </c>
      <c r="H1007" s="210" t="str">
        <f>TEXT(A1007,"ddd")</f>
        <v>Sat</v>
      </c>
    </row>
    <row r="1008" spans="1:8" x14ac:dyDescent="0.25">
      <c r="A1008" s="13"/>
      <c r="B1008" s="14"/>
      <c r="C1008" s="39"/>
      <c r="D1008" s="39"/>
      <c r="E1008" s="36" t="str">
        <f>IF(SUM(C1008:D1008)=0," ",SUM(C1008:D1008))</f>
        <v xml:space="preserve"> </v>
      </c>
      <c r="F1008" s="14"/>
      <c r="G1008" s="120" t="e">
        <f>VLOOKUP($B1008,Information!$C$8:$F$15,4,FALSE)</f>
        <v>#N/A</v>
      </c>
      <c r="H1008" s="210" t="str">
        <f>TEXT(A1008,"ddd")</f>
        <v>Sat</v>
      </c>
    </row>
    <row r="1009" spans="1:8" x14ac:dyDescent="0.25">
      <c r="A1009" s="13"/>
      <c r="B1009" s="14"/>
      <c r="C1009" s="39"/>
      <c r="D1009" s="39"/>
      <c r="E1009" s="36" t="str">
        <f>IF(SUM(C1009:D1009)=0," ",SUM(C1009:D1009))</f>
        <v xml:space="preserve"> </v>
      </c>
      <c r="F1009" s="14"/>
      <c r="G1009" s="120" t="e">
        <f>VLOOKUP($B1009,Information!$C$8:$F$15,4,FALSE)</f>
        <v>#N/A</v>
      </c>
      <c r="H1009" s="210" t="str">
        <f>TEXT(A1009,"ddd")</f>
        <v>Sat</v>
      </c>
    </row>
    <row r="1010" spans="1:8" x14ac:dyDescent="0.25">
      <c r="A1010" s="13"/>
      <c r="B1010" s="14"/>
      <c r="C1010" s="39"/>
      <c r="D1010" s="39"/>
      <c r="E1010" s="36" t="str">
        <f>IF(SUM(C1010:D1010)=0," ",SUM(C1010:D1010))</f>
        <v xml:space="preserve"> </v>
      </c>
      <c r="F1010" s="14"/>
      <c r="G1010" s="120" t="e">
        <f>VLOOKUP($B1010,Information!$C$8:$F$15,4,FALSE)</f>
        <v>#N/A</v>
      </c>
      <c r="H1010" s="210" t="str">
        <f>TEXT(A1010,"ddd")</f>
        <v>Sat</v>
      </c>
    </row>
    <row r="1011" spans="1:8" x14ac:dyDescent="0.25">
      <c r="A1011" s="13"/>
      <c r="B1011" s="14"/>
      <c r="C1011" s="39"/>
      <c r="D1011" s="39"/>
      <c r="E1011" s="36" t="str">
        <f>IF(SUM(C1011:D1011)=0," ",SUM(C1011:D1011))</f>
        <v xml:space="preserve"> </v>
      </c>
      <c r="F1011" s="14"/>
      <c r="G1011" s="120" t="e">
        <f>VLOOKUP($B1011,Information!$C$8:$F$15,4,FALSE)</f>
        <v>#N/A</v>
      </c>
      <c r="H1011" s="210" t="str">
        <f>TEXT(A1011,"ddd")</f>
        <v>Sat</v>
      </c>
    </row>
    <row r="1012" spans="1:8" x14ac:dyDescent="0.25">
      <c r="A1012" s="13"/>
      <c r="B1012" s="14"/>
      <c r="C1012" s="39"/>
      <c r="D1012" s="39"/>
      <c r="E1012" s="36" t="str">
        <f>IF(SUM(C1012:D1012)=0," ",SUM(C1012:D1012))</f>
        <v xml:space="preserve"> </v>
      </c>
      <c r="F1012" s="14"/>
      <c r="G1012" s="120" t="e">
        <f>VLOOKUP($B1012,Information!$C$8:$F$15,4,FALSE)</f>
        <v>#N/A</v>
      </c>
      <c r="H1012" s="210" t="str">
        <f>TEXT(A1012,"ddd")</f>
        <v>Sat</v>
      </c>
    </row>
    <row r="1013" spans="1:8" x14ac:dyDescent="0.25">
      <c r="A1013" s="13"/>
      <c r="B1013" s="14"/>
      <c r="C1013" s="39"/>
      <c r="D1013" s="39"/>
      <c r="E1013" s="36" t="str">
        <f>IF(SUM(C1013:D1013)=0," ",SUM(C1013:D1013))</f>
        <v xml:space="preserve"> </v>
      </c>
      <c r="F1013" s="14"/>
      <c r="G1013" s="120" t="e">
        <f>VLOOKUP($B1013,Information!$C$8:$F$15,4,FALSE)</f>
        <v>#N/A</v>
      </c>
      <c r="H1013" s="210" t="str">
        <f>TEXT(A1013,"ddd")</f>
        <v>Sat</v>
      </c>
    </row>
    <row r="1014" spans="1:8" x14ac:dyDescent="0.25">
      <c r="A1014" s="13"/>
      <c r="B1014" s="14"/>
      <c r="C1014" s="39"/>
      <c r="D1014" s="39"/>
      <c r="E1014" s="36" t="str">
        <f>IF(SUM(C1014:D1014)=0," ",SUM(C1014:D1014))</f>
        <v xml:space="preserve"> </v>
      </c>
      <c r="F1014" s="14"/>
      <c r="G1014" s="120" t="e">
        <f>VLOOKUP($B1014,Information!$C$8:$F$15,4,FALSE)</f>
        <v>#N/A</v>
      </c>
      <c r="H1014" s="210" t="str">
        <f>TEXT(A1014,"ddd")</f>
        <v>Sat</v>
      </c>
    </row>
    <row r="1015" spans="1:8" x14ac:dyDescent="0.25">
      <c r="A1015" s="13"/>
      <c r="B1015" s="14"/>
      <c r="C1015" s="39"/>
      <c r="D1015" s="39"/>
      <c r="E1015" s="36" t="str">
        <f>IF(SUM(C1015:D1015)=0," ",SUM(C1015:D1015))</f>
        <v xml:space="preserve"> </v>
      </c>
      <c r="F1015" s="14"/>
      <c r="G1015" s="120" t="e">
        <f>VLOOKUP($B1015,Information!$C$8:$F$15,4,FALSE)</f>
        <v>#N/A</v>
      </c>
      <c r="H1015" s="210" t="str">
        <f>TEXT(A1015,"ddd")</f>
        <v>Sat</v>
      </c>
    </row>
    <row r="1016" spans="1:8" x14ac:dyDescent="0.25">
      <c r="A1016" s="13"/>
      <c r="B1016" s="14"/>
      <c r="C1016" s="39"/>
      <c r="D1016" s="39"/>
      <c r="E1016" s="36" t="str">
        <f>IF(SUM(C1016:D1016)=0," ",SUM(C1016:D1016))</f>
        <v xml:space="preserve"> </v>
      </c>
      <c r="F1016" s="14"/>
      <c r="G1016" s="120" t="e">
        <f>VLOOKUP($B1016,Information!$C$8:$F$15,4,FALSE)</f>
        <v>#N/A</v>
      </c>
      <c r="H1016" s="210" t="str">
        <f>TEXT(A1016,"ddd")</f>
        <v>Sat</v>
      </c>
    </row>
    <row r="1017" spans="1:8" x14ac:dyDescent="0.25">
      <c r="A1017" s="13"/>
      <c r="B1017" s="14"/>
      <c r="C1017" s="39"/>
      <c r="D1017" s="39"/>
      <c r="E1017" s="36" t="str">
        <f>IF(SUM(C1017:D1017)=0," ",SUM(C1017:D1017))</f>
        <v xml:space="preserve"> </v>
      </c>
      <c r="F1017" s="14"/>
      <c r="G1017" s="120" t="e">
        <f>VLOOKUP($B1017,Information!$C$8:$F$15,4,FALSE)</f>
        <v>#N/A</v>
      </c>
      <c r="H1017" s="210" t="str">
        <f>TEXT(A1017,"ddd")</f>
        <v>Sat</v>
      </c>
    </row>
    <row r="1018" spans="1:8" x14ac:dyDescent="0.25">
      <c r="A1018" s="13"/>
      <c r="B1018" s="14"/>
      <c r="C1018" s="39"/>
      <c r="D1018" s="39"/>
      <c r="E1018" s="36" t="str">
        <f>IF(SUM(C1018:D1018)=0," ",SUM(C1018:D1018))</f>
        <v xml:space="preserve"> </v>
      </c>
      <c r="F1018" s="14"/>
      <c r="G1018" s="120" t="e">
        <f>VLOOKUP($B1018,Information!$C$8:$F$15,4,FALSE)</f>
        <v>#N/A</v>
      </c>
      <c r="H1018" s="210" t="str">
        <f>TEXT(A1018,"ddd")</f>
        <v>Sat</v>
      </c>
    </row>
    <row r="1019" spans="1:8" x14ac:dyDescent="0.25">
      <c r="A1019" s="13"/>
      <c r="B1019" s="14"/>
      <c r="C1019" s="39"/>
      <c r="D1019" s="39"/>
      <c r="E1019" s="36" t="str">
        <f>IF(SUM(C1019:D1019)=0," ",SUM(C1019:D1019))</f>
        <v xml:space="preserve"> </v>
      </c>
      <c r="F1019" s="14"/>
      <c r="G1019" s="120" t="e">
        <f>VLOOKUP($B1019,Information!$C$8:$F$15,4,FALSE)</f>
        <v>#N/A</v>
      </c>
      <c r="H1019" s="210" t="str">
        <f>TEXT(A1019,"ddd")</f>
        <v>Sat</v>
      </c>
    </row>
    <row r="1020" spans="1:8" x14ac:dyDescent="0.25">
      <c r="A1020" s="13"/>
      <c r="B1020" s="14"/>
      <c r="C1020" s="39"/>
      <c r="D1020" s="39"/>
      <c r="E1020" s="36" t="str">
        <f>IF(SUM(C1020:D1020)=0," ",SUM(C1020:D1020))</f>
        <v xml:space="preserve"> </v>
      </c>
      <c r="F1020" s="14"/>
      <c r="G1020" s="120" t="e">
        <f>VLOOKUP($B1020,Information!$C$8:$F$15,4,FALSE)</f>
        <v>#N/A</v>
      </c>
      <c r="H1020" s="210" t="str">
        <f>TEXT(A1020,"ddd")</f>
        <v>Sat</v>
      </c>
    </row>
    <row r="1021" spans="1:8" x14ac:dyDescent="0.25">
      <c r="A1021" s="13"/>
      <c r="B1021" s="14"/>
      <c r="C1021" s="39"/>
      <c r="D1021" s="39"/>
      <c r="E1021" s="36" t="str">
        <f>IF(SUM(C1021:D1021)=0," ",SUM(C1021:D1021))</f>
        <v xml:space="preserve"> </v>
      </c>
      <c r="F1021" s="14"/>
      <c r="G1021" s="120" t="e">
        <f>VLOOKUP($B1021,Information!$C$8:$F$15,4,FALSE)</f>
        <v>#N/A</v>
      </c>
      <c r="H1021" s="210" t="str">
        <f>TEXT(A1021,"ddd")</f>
        <v>Sat</v>
      </c>
    </row>
    <row r="1022" spans="1:8" x14ac:dyDescent="0.25">
      <c r="A1022" s="13"/>
      <c r="B1022" s="14"/>
      <c r="C1022" s="39"/>
      <c r="D1022" s="39"/>
      <c r="E1022" s="36" t="str">
        <f>IF(SUM(C1022:D1022)=0," ",SUM(C1022:D1022))</f>
        <v xml:space="preserve"> </v>
      </c>
      <c r="F1022" s="14"/>
      <c r="G1022" s="120" t="e">
        <f>VLOOKUP($B1022,Information!$C$8:$F$15,4,FALSE)</f>
        <v>#N/A</v>
      </c>
      <c r="H1022" s="210" t="str">
        <f>TEXT(A1022,"ddd")</f>
        <v>Sat</v>
      </c>
    </row>
    <row r="1023" spans="1:8" x14ac:dyDescent="0.25">
      <c r="A1023" s="13"/>
      <c r="B1023" s="14"/>
      <c r="C1023" s="39"/>
      <c r="D1023" s="39"/>
      <c r="E1023" s="36" t="str">
        <f>IF(SUM(C1023:D1023)=0," ",SUM(C1023:D1023))</f>
        <v xml:space="preserve"> </v>
      </c>
      <c r="F1023" s="14"/>
      <c r="G1023" s="120" t="e">
        <f>VLOOKUP($B1023,Information!$C$8:$F$15,4,FALSE)</f>
        <v>#N/A</v>
      </c>
      <c r="H1023" s="210" t="str">
        <f>TEXT(A1023,"ddd")</f>
        <v>Sat</v>
      </c>
    </row>
    <row r="1024" spans="1:8" x14ac:dyDescent="0.25">
      <c r="A1024" s="13"/>
      <c r="B1024" s="14"/>
      <c r="C1024" s="39"/>
      <c r="D1024" s="39"/>
      <c r="E1024" s="36" t="str">
        <f>IF(SUM(C1024:D1024)=0," ",SUM(C1024:D1024))</f>
        <v xml:space="preserve"> </v>
      </c>
      <c r="F1024" s="14"/>
      <c r="G1024" s="120" t="e">
        <f>VLOOKUP($B1024,Information!$C$8:$F$15,4,FALSE)</f>
        <v>#N/A</v>
      </c>
      <c r="H1024" s="210" t="str">
        <f>TEXT(A1024,"ddd")</f>
        <v>Sat</v>
      </c>
    </row>
    <row r="1025" spans="1:8" x14ac:dyDescent="0.25">
      <c r="A1025" s="13"/>
      <c r="B1025" s="14"/>
      <c r="C1025" s="39"/>
      <c r="D1025" s="39"/>
      <c r="E1025" s="36" t="str">
        <f>IF(SUM(C1025:D1025)=0," ",SUM(C1025:D1025))</f>
        <v xml:space="preserve"> </v>
      </c>
      <c r="F1025" s="14"/>
      <c r="G1025" s="120" t="e">
        <f>VLOOKUP($B1025,Information!$C$8:$F$15,4,FALSE)</f>
        <v>#N/A</v>
      </c>
      <c r="H1025" s="210" t="str">
        <f>TEXT(A1025,"ddd")</f>
        <v>Sat</v>
      </c>
    </row>
    <row r="1026" spans="1:8" x14ac:dyDescent="0.25">
      <c r="A1026" s="13"/>
      <c r="B1026" s="14"/>
      <c r="C1026" s="39"/>
      <c r="D1026" s="39"/>
      <c r="E1026" s="36" t="str">
        <f>IF(SUM(C1026:D1026)=0," ",SUM(C1026:D1026))</f>
        <v xml:space="preserve"> </v>
      </c>
      <c r="F1026" s="14"/>
      <c r="G1026" s="120" t="e">
        <f>VLOOKUP($B1026,Information!$C$8:$F$15,4,FALSE)</f>
        <v>#N/A</v>
      </c>
      <c r="H1026" s="210" t="str">
        <f>TEXT(A1026,"ddd")</f>
        <v>Sat</v>
      </c>
    </row>
    <row r="1027" spans="1:8" x14ac:dyDescent="0.25">
      <c r="A1027" s="13"/>
      <c r="B1027" s="14"/>
      <c r="C1027" s="39"/>
      <c r="D1027" s="39"/>
      <c r="E1027" s="36" t="str">
        <f>IF(SUM(C1027:D1027)=0," ",SUM(C1027:D1027))</f>
        <v xml:space="preserve"> </v>
      </c>
      <c r="F1027" s="14"/>
      <c r="G1027" s="120" t="e">
        <f>VLOOKUP($B1027,Information!$C$8:$F$15,4,FALSE)</f>
        <v>#N/A</v>
      </c>
      <c r="H1027" s="210" t="str">
        <f>TEXT(A1027,"ddd")</f>
        <v>Sat</v>
      </c>
    </row>
    <row r="1028" spans="1:8" x14ac:dyDescent="0.25">
      <c r="A1028" s="13"/>
      <c r="B1028" s="14"/>
      <c r="C1028" s="39"/>
      <c r="D1028" s="39"/>
      <c r="E1028" s="36" t="str">
        <f>IF(SUM(C1028:D1028)=0," ",SUM(C1028:D1028))</f>
        <v xml:space="preserve"> </v>
      </c>
      <c r="F1028" s="14"/>
      <c r="G1028" s="120" t="e">
        <f>VLOOKUP($B1028,Information!$C$8:$F$15,4,FALSE)</f>
        <v>#N/A</v>
      </c>
      <c r="H1028" s="210" t="str">
        <f>TEXT(A1028,"ddd")</f>
        <v>Sat</v>
      </c>
    </row>
    <row r="1029" spans="1:8" x14ac:dyDescent="0.25">
      <c r="A1029" s="13"/>
      <c r="B1029" s="14"/>
      <c r="C1029" s="39"/>
      <c r="D1029" s="39"/>
      <c r="E1029" s="36" t="str">
        <f>IF(SUM(C1029:D1029)=0," ",SUM(C1029:D1029))</f>
        <v xml:space="preserve"> </v>
      </c>
      <c r="F1029" s="14"/>
      <c r="G1029" s="120" t="e">
        <f>VLOOKUP($B1029,Information!$C$8:$F$15,4,FALSE)</f>
        <v>#N/A</v>
      </c>
      <c r="H1029" s="210" t="str">
        <f>TEXT(A1029,"ddd")</f>
        <v>Sat</v>
      </c>
    </row>
    <row r="1030" spans="1:8" x14ac:dyDescent="0.25">
      <c r="A1030" s="13"/>
      <c r="B1030" s="14"/>
      <c r="C1030" s="39"/>
      <c r="D1030" s="39"/>
      <c r="E1030" s="36" t="str">
        <f>IF(SUM(C1030:D1030)=0," ",SUM(C1030:D1030))</f>
        <v xml:space="preserve"> </v>
      </c>
      <c r="F1030" s="14"/>
      <c r="G1030" s="120" t="e">
        <f>VLOOKUP($B1030,Information!$C$8:$F$15,4,FALSE)</f>
        <v>#N/A</v>
      </c>
      <c r="H1030" s="210" t="str">
        <f>TEXT(A1030,"ddd")</f>
        <v>Sat</v>
      </c>
    </row>
    <row r="1031" spans="1:8" x14ac:dyDescent="0.25">
      <c r="A1031" s="13"/>
      <c r="B1031" s="14"/>
      <c r="C1031" s="39"/>
      <c r="D1031" s="39"/>
      <c r="E1031" s="36" t="str">
        <f>IF(SUM(C1031:D1031)=0," ",SUM(C1031:D1031))</f>
        <v xml:space="preserve"> </v>
      </c>
      <c r="F1031" s="14"/>
      <c r="G1031" s="120" t="e">
        <f>VLOOKUP($B1031,Information!$C$8:$F$15,4,FALSE)</f>
        <v>#N/A</v>
      </c>
      <c r="H1031" s="210" t="str">
        <f>TEXT(A1031,"ddd")</f>
        <v>Sat</v>
      </c>
    </row>
    <row r="1032" spans="1:8" x14ac:dyDescent="0.25">
      <c r="A1032" s="13"/>
      <c r="B1032" s="14"/>
      <c r="C1032" s="39"/>
      <c r="D1032" s="39"/>
      <c r="E1032" s="36" t="str">
        <f>IF(SUM(C1032:D1032)=0," ",SUM(C1032:D1032))</f>
        <v xml:space="preserve"> </v>
      </c>
      <c r="F1032" s="14"/>
      <c r="G1032" s="120" t="e">
        <f>VLOOKUP($B1032,Information!$C$8:$F$15,4,FALSE)</f>
        <v>#N/A</v>
      </c>
      <c r="H1032" s="210" t="str">
        <f>TEXT(A1032,"ddd")</f>
        <v>Sat</v>
      </c>
    </row>
    <row r="1033" spans="1:8" x14ac:dyDescent="0.25">
      <c r="A1033" s="13"/>
      <c r="B1033" s="14"/>
      <c r="C1033" s="39"/>
      <c r="D1033" s="39"/>
      <c r="E1033" s="36" t="str">
        <f>IF(SUM(C1033:D1033)=0," ",SUM(C1033:D1033))</f>
        <v xml:space="preserve"> </v>
      </c>
      <c r="F1033" s="14"/>
      <c r="G1033" s="120" t="e">
        <f>VLOOKUP($B1033,Information!$C$8:$F$15,4,FALSE)</f>
        <v>#N/A</v>
      </c>
      <c r="H1033" s="210" t="str">
        <f>TEXT(A1033,"ddd")</f>
        <v>Sat</v>
      </c>
    </row>
    <row r="1034" spans="1:8" x14ac:dyDescent="0.25">
      <c r="A1034" s="13"/>
      <c r="B1034" s="14"/>
      <c r="C1034" s="39"/>
      <c r="D1034" s="39"/>
      <c r="E1034" s="36" t="str">
        <f>IF(SUM(C1034:D1034)=0," ",SUM(C1034:D1034))</f>
        <v xml:space="preserve"> </v>
      </c>
      <c r="F1034" s="14"/>
      <c r="G1034" s="120" t="e">
        <f>VLOOKUP($B1034,Information!$C$8:$F$15,4,FALSE)</f>
        <v>#N/A</v>
      </c>
      <c r="H1034" s="210" t="str">
        <f>TEXT(A1034,"ddd")</f>
        <v>Sat</v>
      </c>
    </row>
    <row r="1035" spans="1:8" x14ac:dyDescent="0.25">
      <c r="A1035" s="13"/>
      <c r="B1035" s="14"/>
      <c r="C1035" s="39"/>
      <c r="D1035" s="39"/>
      <c r="E1035" s="36" t="str">
        <f>IF(SUM(C1035:D1035)=0," ",SUM(C1035:D1035))</f>
        <v xml:space="preserve"> </v>
      </c>
      <c r="F1035" s="14"/>
      <c r="G1035" s="120" t="e">
        <f>VLOOKUP($B1035,Information!$C$8:$F$15,4,FALSE)</f>
        <v>#N/A</v>
      </c>
      <c r="H1035" s="210" t="str">
        <f>TEXT(A1035,"ddd")</f>
        <v>Sat</v>
      </c>
    </row>
    <row r="1036" spans="1:8" x14ac:dyDescent="0.25">
      <c r="A1036" s="13"/>
      <c r="B1036" s="14"/>
      <c r="C1036" s="39"/>
      <c r="D1036" s="39"/>
      <c r="E1036" s="36" t="str">
        <f>IF(SUM(C1036:D1036)=0," ",SUM(C1036:D1036))</f>
        <v xml:space="preserve"> </v>
      </c>
      <c r="F1036" s="14"/>
      <c r="G1036" s="120" t="e">
        <f>VLOOKUP($B1036,Information!$C$8:$F$15,4,FALSE)</f>
        <v>#N/A</v>
      </c>
      <c r="H1036" s="210" t="str">
        <f>TEXT(A1036,"ddd")</f>
        <v>Sat</v>
      </c>
    </row>
    <row r="1037" spans="1:8" x14ac:dyDescent="0.25">
      <c r="A1037" s="13"/>
      <c r="B1037" s="14"/>
      <c r="C1037" s="39"/>
      <c r="D1037" s="39"/>
      <c r="E1037" s="36" t="str">
        <f>IF(SUM(C1037:D1037)=0," ",SUM(C1037:D1037))</f>
        <v xml:space="preserve"> </v>
      </c>
      <c r="F1037" s="14"/>
      <c r="G1037" s="120" t="e">
        <f>VLOOKUP($B1037,Information!$C$8:$F$15,4,FALSE)</f>
        <v>#N/A</v>
      </c>
      <c r="H1037" s="210" t="str">
        <f>TEXT(A1037,"ddd")</f>
        <v>Sat</v>
      </c>
    </row>
    <row r="1038" spans="1:8" x14ac:dyDescent="0.25">
      <c r="A1038" s="13"/>
      <c r="B1038" s="14"/>
      <c r="C1038" s="39"/>
      <c r="D1038" s="39"/>
      <c r="E1038" s="36" t="str">
        <f>IF(SUM(C1038:D1038)=0," ",SUM(C1038:D1038))</f>
        <v xml:space="preserve"> </v>
      </c>
      <c r="F1038" s="14"/>
      <c r="G1038" s="120" t="e">
        <f>VLOOKUP($B1038,Information!$C$8:$F$15,4,FALSE)</f>
        <v>#N/A</v>
      </c>
      <c r="H1038" s="210" t="str">
        <f>TEXT(A1038,"ddd")</f>
        <v>Sat</v>
      </c>
    </row>
    <row r="1039" spans="1:8" x14ac:dyDescent="0.25">
      <c r="A1039" s="13"/>
      <c r="B1039" s="14"/>
      <c r="C1039" s="39"/>
      <c r="D1039" s="39"/>
      <c r="E1039" s="36" t="str">
        <f>IF(SUM(C1039:D1039)=0," ",SUM(C1039:D1039))</f>
        <v xml:space="preserve"> </v>
      </c>
      <c r="F1039" s="14"/>
      <c r="G1039" s="120" t="e">
        <f>VLOOKUP($B1039,Information!$C$8:$F$15,4,FALSE)</f>
        <v>#N/A</v>
      </c>
      <c r="H1039" s="210" t="str">
        <f>TEXT(A1039,"ddd")</f>
        <v>Sat</v>
      </c>
    </row>
    <row r="1040" spans="1:8" x14ac:dyDescent="0.25">
      <c r="A1040" s="13"/>
      <c r="B1040" s="14"/>
      <c r="C1040" s="39"/>
      <c r="D1040" s="39"/>
      <c r="E1040" s="36" t="str">
        <f>IF(SUM(C1040:D1040)=0," ",SUM(C1040:D1040))</f>
        <v xml:space="preserve"> </v>
      </c>
      <c r="F1040" s="14"/>
      <c r="G1040" s="120" t="e">
        <f>VLOOKUP($B1040,Information!$C$8:$F$15,4,FALSE)</f>
        <v>#N/A</v>
      </c>
      <c r="H1040" s="210" t="str">
        <f>TEXT(A1040,"ddd")</f>
        <v>Sat</v>
      </c>
    </row>
    <row r="1041" spans="1:8" x14ac:dyDescent="0.25">
      <c r="A1041" s="13"/>
      <c r="B1041" s="14"/>
      <c r="C1041" s="39"/>
      <c r="D1041" s="39"/>
      <c r="E1041" s="36" t="str">
        <f>IF(SUM(C1041:D1041)=0," ",SUM(C1041:D1041))</f>
        <v xml:space="preserve"> </v>
      </c>
      <c r="F1041" s="14"/>
      <c r="G1041" s="120" t="e">
        <f>VLOOKUP($B1041,Information!$C$8:$F$15,4,FALSE)</f>
        <v>#N/A</v>
      </c>
      <c r="H1041" s="210" t="str">
        <f>TEXT(A1041,"ddd")</f>
        <v>Sat</v>
      </c>
    </row>
    <row r="1042" spans="1:8" x14ac:dyDescent="0.25">
      <c r="A1042" s="13"/>
      <c r="B1042" s="14"/>
      <c r="C1042" s="39"/>
      <c r="D1042" s="39"/>
      <c r="E1042" s="36" t="str">
        <f>IF(SUM(C1042:D1042)=0," ",SUM(C1042:D1042))</f>
        <v xml:space="preserve"> </v>
      </c>
      <c r="F1042" s="14"/>
      <c r="G1042" s="120" t="e">
        <f>VLOOKUP($B1042,Information!$C$8:$F$15,4,FALSE)</f>
        <v>#N/A</v>
      </c>
      <c r="H1042" s="210" t="str">
        <f>TEXT(A1042,"ddd")</f>
        <v>Sat</v>
      </c>
    </row>
    <row r="1043" spans="1:8" x14ac:dyDescent="0.25">
      <c r="A1043" s="13"/>
      <c r="B1043" s="14"/>
      <c r="C1043" s="39"/>
      <c r="D1043" s="39"/>
      <c r="E1043" s="36" t="str">
        <f>IF(SUM(C1043:D1043)=0," ",SUM(C1043:D1043))</f>
        <v xml:space="preserve"> </v>
      </c>
      <c r="F1043" s="14"/>
      <c r="G1043" s="120" t="e">
        <f>VLOOKUP($B1043,Information!$C$8:$F$15,4,FALSE)</f>
        <v>#N/A</v>
      </c>
      <c r="H1043" s="210" t="str">
        <f>TEXT(A1043,"ddd")</f>
        <v>Sat</v>
      </c>
    </row>
    <row r="1044" spans="1:8" x14ac:dyDescent="0.25">
      <c r="A1044" s="13"/>
      <c r="B1044" s="14"/>
      <c r="C1044" s="39"/>
      <c r="D1044" s="39"/>
      <c r="E1044" s="36" t="str">
        <f>IF(SUM(C1044:D1044)=0," ",SUM(C1044:D1044))</f>
        <v xml:space="preserve"> </v>
      </c>
      <c r="F1044" s="14"/>
      <c r="G1044" s="120" t="e">
        <f>VLOOKUP($B1044,Information!$C$8:$F$15,4,FALSE)</f>
        <v>#N/A</v>
      </c>
      <c r="H1044" s="210" t="str">
        <f>TEXT(A1044,"ddd")</f>
        <v>Sat</v>
      </c>
    </row>
    <row r="1045" spans="1:8" x14ac:dyDescent="0.25">
      <c r="A1045" s="13"/>
      <c r="B1045" s="14"/>
      <c r="C1045" s="39"/>
      <c r="D1045" s="39"/>
      <c r="E1045" s="36" t="str">
        <f>IF(SUM(C1045:D1045)=0," ",SUM(C1045:D1045))</f>
        <v xml:space="preserve"> </v>
      </c>
      <c r="F1045" s="14"/>
      <c r="G1045" s="120" t="e">
        <f>VLOOKUP($B1045,Information!$C$8:$F$15,4,FALSE)</f>
        <v>#N/A</v>
      </c>
      <c r="H1045" s="210" t="str">
        <f>TEXT(A1045,"ddd")</f>
        <v>Sat</v>
      </c>
    </row>
    <row r="1046" spans="1:8" x14ac:dyDescent="0.25">
      <c r="A1046" s="13"/>
      <c r="B1046" s="14"/>
      <c r="C1046" s="39"/>
      <c r="D1046" s="39"/>
      <c r="E1046" s="36" t="str">
        <f>IF(SUM(C1046:D1046)=0," ",SUM(C1046:D1046))</f>
        <v xml:space="preserve"> </v>
      </c>
      <c r="F1046" s="14"/>
      <c r="G1046" s="120" t="e">
        <f>VLOOKUP($B1046,Information!$C$8:$F$15,4,FALSE)</f>
        <v>#N/A</v>
      </c>
      <c r="H1046" s="210" t="str">
        <f>TEXT(A1046,"ddd")</f>
        <v>Sat</v>
      </c>
    </row>
    <row r="1047" spans="1:8" x14ac:dyDescent="0.25">
      <c r="A1047" s="13"/>
      <c r="B1047" s="14"/>
      <c r="C1047" s="39"/>
      <c r="D1047" s="39"/>
      <c r="E1047" s="36" t="str">
        <f>IF(SUM(C1047:D1047)=0," ",SUM(C1047:D1047))</f>
        <v xml:space="preserve"> </v>
      </c>
      <c r="F1047" s="14"/>
      <c r="G1047" s="120" t="e">
        <f>VLOOKUP($B1047,Information!$C$8:$F$15,4,FALSE)</f>
        <v>#N/A</v>
      </c>
      <c r="H1047" s="210" t="str">
        <f>TEXT(A1047,"ddd")</f>
        <v>Sat</v>
      </c>
    </row>
    <row r="1048" spans="1:8" x14ac:dyDescent="0.25">
      <c r="A1048" s="13"/>
      <c r="B1048" s="14"/>
      <c r="C1048" s="39"/>
      <c r="D1048" s="39"/>
      <c r="E1048" s="36" t="str">
        <f>IF(SUM(C1048:D1048)=0," ",SUM(C1048:D1048))</f>
        <v xml:space="preserve"> </v>
      </c>
      <c r="F1048" s="14"/>
      <c r="G1048" s="120" t="e">
        <f>VLOOKUP($B1048,Information!$C$8:$F$15,4,FALSE)</f>
        <v>#N/A</v>
      </c>
      <c r="H1048" s="210" t="str">
        <f>TEXT(A1048,"ddd")</f>
        <v>Sat</v>
      </c>
    </row>
    <row r="1049" spans="1:8" x14ac:dyDescent="0.25">
      <c r="A1049" s="13"/>
      <c r="B1049" s="14"/>
      <c r="C1049" s="39"/>
      <c r="D1049" s="39"/>
      <c r="E1049" s="36" t="str">
        <f>IF(SUM(C1049:D1049)=0," ",SUM(C1049:D1049))</f>
        <v xml:space="preserve"> </v>
      </c>
      <c r="F1049" s="14"/>
      <c r="G1049" s="120" t="e">
        <f>VLOOKUP($B1049,Information!$C$8:$F$15,4,FALSE)</f>
        <v>#N/A</v>
      </c>
      <c r="H1049" s="210" t="str">
        <f>TEXT(A1049,"ddd")</f>
        <v>Sat</v>
      </c>
    </row>
    <row r="1050" spans="1:8" x14ac:dyDescent="0.25">
      <c r="A1050" s="13"/>
      <c r="B1050" s="14"/>
      <c r="C1050" s="39"/>
      <c r="D1050" s="39"/>
      <c r="E1050" s="36" t="str">
        <f>IF(SUM(C1050:D1050)=0," ",SUM(C1050:D1050))</f>
        <v xml:space="preserve"> </v>
      </c>
      <c r="F1050" s="14"/>
      <c r="G1050" s="120" t="e">
        <f>VLOOKUP($B1050,Information!$C$8:$F$15,4,FALSE)</f>
        <v>#N/A</v>
      </c>
      <c r="H1050" s="210" t="str">
        <f>TEXT(A1050,"ddd")</f>
        <v>Sat</v>
      </c>
    </row>
    <row r="1051" spans="1:8" x14ac:dyDescent="0.25">
      <c r="A1051" s="13"/>
      <c r="B1051" s="14"/>
      <c r="C1051" s="39"/>
      <c r="D1051" s="39"/>
      <c r="E1051" s="36" t="str">
        <f>IF(SUM(C1051:D1051)=0," ",SUM(C1051:D1051))</f>
        <v xml:space="preserve"> </v>
      </c>
      <c r="F1051" s="14"/>
      <c r="G1051" s="120" t="e">
        <f>VLOOKUP($B1051,Information!$C$8:$F$15,4,FALSE)</f>
        <v>#N/A</v>
      </c>
      <c r="H1051" s="210" t="str">
        <f>TEXT(A1051,"ddd")</f>
        <v>Sat</v>
      </c>
    </row>
    <row r="1052" spans="1:8" x14ac:dyDescent="0.25">
      <c r="A1052" s="13"/>
      <c r="B1052" s="14"/>
      <c r="C1052" s="39"/>
      <c r="D1052" s="39"/>
      <c r="E1052" s="36" t="str">
        <f>IF(SUM(C1052:D1052)=0," ",SUM(C1052:D1052))</f>
        <v xml:space="preserve"> </v>
      </c>
      <c r="F1052" s="14"/>
      <c r="G1052" s="120" t="e">
        <f>VLOOKUP($B1052,Information!$C$8:$F$15,4,FALSE)</f>
        <v>#N/A</v>
      </c>
      <c r="H1052" s="210" t="str">
        <f>TEXT(A1052,"ddd")</f>
        <v>Sat</v>
      </c>
    </row>
    <row r="1053" spans="1:8" x14ac:dyDescent="0.25">
      <c r="A1053" s="13"/>
      <c r="B1053" s="14"/>
      <c r="C1053" s="39"/>
      <c r="D1053" s="39"/>
      <c r="E1053" s="36" t="str">
        <f>IF(SUM(C1053:D1053)=0," ",SUM(C1053:D1053))</f>
        <v xml:space="preserve"> </v>
      </c>
      <c r="F1053" s="14"/>
      <c r="G1053" s="120" t="e">
        <f>VLOOKUP($B1053,Information!$C$8:$F$15,4,FALSE)</f>
        <v>#N/A</v>
      </c>
      <c r="H1053" s="210" t="str">
        <f>TEXT(A1053,"ddd")</f>
        <v>Sat</v>
      </c>
    </row>
    <row r="1054" spans="1:8" x14ac:dyDescent="0.25">
      <c r="A1054" s="13"/>
      <c r="B1054" s="14"/>
      <c r="C1054" s="39"/>
      <c r="D1054" s="39"/>
      <c r="E1054" s="36" t="str">
        <f>IF(SUM(C1054:D1054)=0," ",SUM(C1054:D1054))</f>
        <v xml:space="preserve"> </v>
      </c>
      <c r="F1054" s="14"/>
      <c r="G1054" s="120" t="e">
        <f>VLOOKUP($B1054,Information!$C$8:$F$15,4,FALSE)</f>
        <v>#N/A</v>
      </c>
      <c r="H1054" s="210" t="str">
        <f>TEXT(A1054,"ddd")</f>
        <v>Sat</v>
      </c>
    </row>
    <row r="1055" spans="1:8" x14ac:dyDescent="0.25">
      <c r="A1055" s="13"/>
      <c r="B1055" s="14"/>
      <c r="C1055" s="39"/>
      <c r="D1055" s="39"/>
      <c r="E1055" s="36" t="str">
        <f>IF(SUM(C1055:D1055)=0," ",SUM(C1055:D1055))</f>
        <v xml:space="preserve"> </v>
      </c>
      <c r="F1055" s="14"/>
      <c r="G1055" s="120" t="e">
        <f>VLOOKUP($B1055,Information!$C$8:$F$15,4,FALSE)</f>
        <v>#N/A</v>
      </c>
      <c r="H1055" s="210" t="str">
        <f>TEXT(A1055,"ddd")</f>
        <v>Sat</v>
      </c>
    </row>
    <row r="1056" spans="1:8" x14ac:dyDescent="0.25">
      <c r="A1056" s="13"/>
      <c r="B1056" s="14"/>
      <c r="C1056" s="39"/>
      <c r="D1056" s="39"/>
      <c r="E1056" s="36" t="str">
        <f>IF(SUM(C1056:D1056)=0," ",SUM(C1056:D1056))</f>
        <v xml:space="preserve"> </v>
      </c>
      <c r="F1056" s="14"/>
      <c r="G1056" s="120" t="e">
        <f>VLOOKUP($B1056,Information!$C$8:$F$15,4,FALSE)</f>
        <v>#N/A</v>
      </c>
      <c r="H1056" s="210" t="str">
        <f>TEXT(A1056,"ddd")</f>
        <v>Sat</v>
      </c>
    </row>
    <row r="1057" spans="1:8" x14ac:dyDescent="0.25">
      <c r="A1057" s="13"/>
      <c r="B1057" s="14"/>
      <c r="C1057" s="39"/>
      <c r="D1057" s="39"/>
      <c r="E1057" s="36" t="str">
        <f>IF(SUM(C1057:D1057)=0," ",SUM(C1057:D1057))</f>
        <v xml:space="preserve"> </v>
      </c>
      <c r="F1057" s="14"/>
      <c r="G1057" s="120" t="e">
        <f>VLOOKUP($B1057,Information!$C$8:$F$15,4,FALSE)</f>
        <v>#N/A</v>
      </c>
      <c r="H1057" s="210" t="str">
        <f>TEXT(A1057,"ddd")</f>
        <v>Sat</v>
      </c>
    </row>
    <row r="1058" spans="1:8" x14ac:dyDescent="0.25">
      <c r="A1058" s="13"/>
      <c r="B1058" s="14"/>
      <c r="C1058" s="39"/>
      <c r="D1058" s="39"/>
      <c r="E1058" s="36" t="str">
        <f>IF(SUM(C1058:D1058)=0," ",SUM(C1058:D1058))</f>
        <v xml:space="preserve"> </v>
      </c>
      <c r="F1058" s="14"/>
      <c r="G1058" s="120" t="e">
        <f>VLOOKUP($B1058,Information!$C$8:$F$15,4,FALSE)</f>
        <v>#N/A</v>
      </c>
      <c r="H1058" s="210" t="str">
        <f>TEXT(A1058,"ddd")</f>
        <v>Sat</v>
      </c>
    </row>
    <row r="1059" spans="1:8" x14ac:dyDescent="0.25">
      <c r="A1059" s="13"/>
      <c r="B1059" s="14"/>
      <c r="C1059" s="39"/>
      <c r="D1059" s="39"/>
      <c r="E1059" s="36" t="str">
        <f>IF(SUM(C1059:D1059)=0," ",SUM(C1059:D1059))</f>
        <v xml:space="preserve"> </v>
      </c>
      <c r="F1059" s="14"/>
      <c r="G1059" s="120" t="e">
        <f>VLOOKUP($B1059,Information!$C$8:$F$15,4,FALSE)</f>
        <v>#N/A</v>
      </c>
      <c r="H1059" s="210" t="str">
        <f>TEXT(A1059,"ddd")</f>
        <v>Sat</v>
      </c>
    </row>
    <row r="1060" spans="1:8" x14ac:dyDescent="0.25">
      <c r="A1060" s="13"/>
      <c r="B1060" s="14"/>
      <c r="C1060" s="39"/>
      <c r="D1060" s="39"/>
      <c r="E1060" s="36" t="str">
        <f>IF(SUM(C1060:D1060)=0," ",SUM(C1060:D1060))</f>
        <v xml:space="preserve"> </v>
      </c>
      <c r="F1060" s="14"/>
      <c r="G1060" s="120" t="e">
        <f>VLOOKUP($B1060,Information!$C$8:$F$15,4,FALSE)</f>
        <v>#N/A</v>
      </c>
      <c r="H1060" s="210" t="str">
        <f>TEXT(A1060,"ddd")</f>
        <v>Sat</v>
      </c>
    </row>
    <row r="1061" spans="1:8" x14ac:dyDescent="0.25">
      <c r="A1061" s="13"/>
      <c r="B1061" s="14"/>
      <c r="C1061" s="39"/>
      <c r="D1061" s="39"/>
      <c r="E1061" s="36" t="str">
        <f>IF(SUM(C1061:D1061)=0," ",SUM(C1061:D1061))</f>
        <v xml:space="preserve"> </v>
      </c>
      <c r="F1061" s="14"/>
      <c r="G1061" s="120" t="e">
        <f>VLOOKUP($B1061,Information!$C$8:$F$15,4,FALSE)</f>
        <v>#N/A</v>
      </c>
      <c r="H1061" s="210" t="str">
        <f>TEXT(A1061,"ddd")</f>
        <v>Sat</v>
      </c>
    </row>
    <row r="1062" spans="1:8" x14ac:dyDescent="0.25">
      <c r="A1062" s="13"/>
      <c r="B1062" s="14"/>
      <c r="C1062" s="39"/>
      <c r="D1062" s="39"/>
      <c r="E1062" s="36" t="str">
        <f>IF(SUM(C1062:D1062)=0," ",SUM(C1062:D1062))</f>
        <v xml:space="preserve"> </v>
      </c>
      <c r="F1062" s="14"/>
      <c r="G1062" s="120" t="e">
        <f>VLOOKUP($B1062,Information!$C$8:$F$15,4,FALSE)</f>
        <v>#N/A</v>
      </c>
      <c r="H1062" s="210" t="str">
        <f>TEXT(A1062,"ddd")</f>
        <v>Sat</v>
      </c>
    </row>
    <row r="1063" spans="1:8" x14ac:dyDescent="0.25">
      <c r="A1063" s="13"/>
      <c r="B1063" s="14"/>
      <c r="C1063" s="39"/>
      <c r="D1063" s="39"/>
      <c r="E1063" s="36" t="str">
        <f>IF(SUM(C1063:D1063)=0," ",SUM(C1063:D1063))</f>
        <v xml:space="preserve"> </v>
      </c>
      <c r="F1063" s="14"/>
      <c r="G1063" s="120" t="e">
        <f>VLOOKUP($B1063,Information!$C$8:$F$15,4,FALSE)</f>
        <v>#N/A</v>
      </c>
      <c r="H1063" s="210" t="str">
        <f>TEXT(A1063,"ddd")</f>
        <v>Sat</v>
      </c>
    </row>
    <row r="1064" spans="1:8" x14ac:dyDescent="0.25">
      <c r="A1064" s="13"/>
      <c r="B1064" s="14"/>
      <c r="C1064" s="39"/>
      <c r="D1064" s="39"/>
      <c r="E1064" s="36" t="str">
        <f>IF(SUM(C1064:D1064)=0," ",SUM(C1064:D1064))</f>
        <v xml:space="preserve"> </v>
      </c>
      <c r="F1064" s="14"/>
      <c r="G1064" s="120" t="e">
        <f>VLOOKUP($B1064,Information!$C$8:$F$15,4,FALSE)</f>
        <v>#N/A</v>
      </c>
      <c r="H1064" s="210" t="str">
        <f>TEXT(A1064,"ddd")</f>
        <v>Sat</v>
      </c>
    </row>
    <row r="1065" spans="1:8" x14ac:dyDescent="0.25">
      <c r="A1065" s="13"/>
      <c r="B1065" s="14"/>
      <c r="C1065" s="39"/>
      <c r="D1065" s="39"/>
      <c r="E1065" s="36" t="str">
        <f>IF(SUM(C1065:D1065)=0," ",SUM(C1065:D1065))</f>
        <v xml:space="preserve"> </v>
      </c>
      <c r="F1065" s="14"/>
      <c r="G1065" s="120" t="e">
        <f>VLOOKUP($B1065,Information!$C$8:$F$15,4,FALSE)</f>
        <v>#N/A</v>
      </c>
      <c r="H1065" s="210" t="str">
        <f>TEXT(A1065,"ddd")</f>
        <v>Sat</v>
      </c>
    </row>
    <row r="1066" spans="1:8" x14ac:dyDescent="0.25">
      <c r="A1066" s="13"/>
      <c r="B1066" s="14"/>
      <c r="C1066" s="39"/>
      <c r="D1066" s="39"/>
      <c r="E1066" s="36" t="str">
        <f>IF(SUM(C1066:D1066)=0," ",SUM(C1066:D1066))</f>
        <v xml:space="preserve"> </v>
      </c>
      <c r="F1066" s="14"/>
      <c r="G1066" s="120" t="e">
        <f>VLOOKUP($B1066,Information!$C$8:$F$15,4,FALSE)</f>
        <v>#N/A</v>
      </c>
      <c r="H1066" s="210" t="str">
        <f>TEXT(A1066,"ddd")</f>
        <v>Sat</v>
      </c>
    </row>
    <row r="1067" spans="1:8" x14ac:dyDescent="0.25">
      <c r="A1067" s="13"/>
      <c r="B1067" s="14"/>
      <c r="C1067" s="39"/>
      <c r="D1067" s="39"/>
      <c r="E1067" s="36" t="str">
        <f>IF(SUM(C1067:D1067)=0," ",SUM(C1067:D1067))</f>
        <v xml:space="preserve"> </v>
      </c>
      <c r="F1067" s="14"/>
      <c r="G1067" s="120" t="e">
        <f>VLOOKUP($B1067,Information!$C$8:$F$15,4,FALSE)</f>
        <v>#N/A</v>
      </c>
      <c r="H1067" s="210" t="str">
        <f>TEXT(A1067,"ddd")</f>
        <v>Sat</v>
      </c>
    </row>
    <row r="1068" spans="1:8" x14ac:dyDescent="0.25">
      <c r="A1068" s="13"/>
      <c r="B1068" s="14"/>
      <c r="C1068" s="39"/>
      <c r="D1068" s="39"/>
      <c r="E1068" s="36" t="str">
        <f>IF(SUM(C1068:D1068)=0," ",SUM(C1068:D1068))</f>
        <v xml:space="preserve"> </v>
      </c>
      <c r="F1068" s="14"/>
      <c r="G1068" s="120" t="e">
        <f>VLOOKUP($B1068,Information!$C$8:$F$15,4,FALSE)</f>
        <v>#N/A</v>
      </c>
      <c r="H1068" s="210" t="str">
        <f>TEXT(A1068,"ddd")</f>
        <v>Sat</v>
      </c>
    </row>
    <row r="1069" spans="1:8" x14ac:dyDescent="0.25">
      <c r="A1069" s="13"/>
      <c r="B1069" s="14"/>
      <c r="C1069" s="39"/>
      <c r="D1069" s="39"/>
      <c r="E1069" s="36" t="str">
        <f>IF(SUM(C1069:D1069)=0," ",SUM(C1069:D1069))</f>
        <v xml:space="preserve"> </v>
      </c>
      <c r="F1069" s="14"/>
      <c r="G1069" s="120" t="e">
        <f>VLOOKUP($B1069,Information!$C$8:$F$15,4,FALSE)</f>
        <v>#N/A</v>
      </c>
      <c r="H1069" s="210" t="str">
        <f>TEXT(A1069,"ddd")</f>
        <v>Sat</v>
      </c>
    </row>
    <row r="1070" spans="1:8" x14ac:dyDescent="0.25">
      <c r="A1070" s="13"/>
      <c r="B1070" s="14"/>
      <c r="C1070" s="39"/>
      <c r="D1070" s="39"/>
      <c r="E1070" s="36" t="str">
        <f>IF(SUM(C1070:D1070)=0," ",SUM(C1070:D1070))</f>
        <v xml:space="preserve"> </v>
      </c>
      <c r="F1070" s="14"/>
      <c r="G1070" s="120" t="e">
        <f>VLOOKUP($B1070,Information!$C$8:$F$15,4,FALSE)</f>
        <v>#N/A</v>
      </c>
      <c r="H1070" s="210" t="str">
        <f>TEXT(A1070,"ddd")</f>
        <v>Sat</v>
      </c>
    </row>
    <row r="1071" spans="1:8" x14ac:dyDescent="0.25">
      <c r="A1071" s="13"/>
      <c r="B1071" s="14"/>
      <c r="C1071" s="39"/>
      <c r="D1071" s="39"/>
      <c r="E1071" s="36" t="str">
        <f>IF(SUM(C1071:D1071)=0," ",SUM(C1071:D1071))</f>
        <v xml:space="preserve"> </v>
      </c>
      <c r="F1071" s="14"/>
      <c r="G1071" s="120" t="e">
        <f>VLOOKUP($B1071,Information!$C$8:$F$15,4,FALSE)</f>
        <v>#N/A</v>
      </c>
      <c r="H1071" s="210" t="str">
        <f>TEXT(A1071,"ddd")</f>
        <v>Sat</v>
      </c>
    </row>
    <row r="1072" spans="1:8" x14ac:dyDescent="0.25">
      <c r="A1072" s="13"/>
      <c r="B1072" s="14"/>
      <c r="C1072" s="39"/>
      <c r="D1072" s="39"/>
      <c r="E1072" s="36" t="str">
        <f>IF(SUM(C1072:D1072)=0," ",SUM(C1072:D1072))</f>
        <v xml:space="preserve"> </v>
      </c>
      <c r="F1072" s="14"/>
      <c r="G1072" s="120" t="e">
        <f>VLOOKUP($B1072,Information!$C$8:$F$15,4,FALSE)</f>
        <v>#N/A</v>
      </c>
      <c r="H1072" s="210" t="str">
        <f>TEXT(A1072,"ddd")</f>
        <v>Sat</v>
      </c>
    </row>
    <row r="1073" spans="1:8" x14ac:dyDescent="0.25">
      <c r="A1073" s="13"/>
      <c r="B1073" s="14"/>
      <c r="C1073" s="39"/>
      <c r="D1073" s="39"/>
      <c r="E1073" s="36" t="str">
        <f>IF(SUM(C1073:D1073)=0," ",SUM(C1073:D1073))</f>
        <v xml:space="preserve"> </v>
      </c>
      <c r="F1073" s="14"/>
      <c r="G1073" s="120" t="e">
        <f>VLOOKUP($B1073,Information!$C$8:$F$15,4,FALSE)</f>
        <v>#N/A</v>
      </c>
      <c r="H1073" s="210" t="str">
        <f>TEXT(A1073,"ddd")</f>
        <v>Sat</v>
      </c>
    </row>
    <row r="1074" spans="1:8" x14ac:dyDescent="0.25">
      <c r="A1074" s="13"/>
      <c r="B1074" s="14"/>
      <c r="C1074" s="39"/>
      <c r="D1074" s="39"/>
      <c r="E1074" s="36" t="str">
        <f>IF(SUM(C1074:D1074)=0," ",SUM(C1074:D1074))</f>
        <v xml:space="preserve"> </v>
      </c>
      <c r="F1074" s="14"/>
      <c r="G1074" s="120" t="e">
        <f>VLOOKUP($B1074,Information!$C$8:$F$15,4,FALSE)</f>
        <v>#N/A</v>
      </c>
      <c r="H1074" s="210" t="str">
        <f>TEXT(A1074,"ddd")</f>
        <v>Sat</v>
      </c>
    </row>
    <row r="1075" spans="1:8" x14ac:dyDescent="0.25">
      <c r="A1075" s="13"/>
      <c r="B1075" s="14"/>
      <c r="C1075" s="39"/>
      <c r="D1075" s="39"/>
      <c r="E1075" s="36" t="str">
        <f>IF(SUM(C1075:D1075)=0," ",SUM(C1075:D1075))</f>
        <v xml:space="preserve"> </v>
      </c>
      <c r="F1075" s="14"/>
      <c r="G1075" s="120" t="e">
        <f>VLOOKUP($B1075,Information!$C$8:$F$15,4,FALSE)</f>
        <v>#N/A</v>
      </c>
      <c r="H1075" s="210" t="str">
        <f>TEXT(A1075,"ddd")</f>
        <v>Sat</v>
      </c>
    </row>
    <row r="1076" spans="1:8" x14ac:dyDescent="0.25">
      <c r="A1076" s="13"/>
      <c r="B1076" s="14"/>
      <c r="C1076" s="39"/>
      <c r="D1076" s="39"/>
      <c r="E1076" s="36" t="str">
        <f>IF(SUM(C1076:D1076)=0," ",SUM(C1076:D1076))</f>
        <v xml:space="preserve"> </v>
      </c>
      <c r="F1076" s="14"/>
      <c r="G1076" s="120" t="e">
        <f>VLOOKUP($B1076,Information!$C$8:$F$15,4,FALSE)</f>
        <v>#N/A</v>
      </c>
      <c r="H1076" s="210" t="str">
        <f>TEXT(A1076,"ddd")</f>
        <v>Sat</v>
      </c>
    </row>
    <row r="1077" spans="1:8" x14ac:dyDescent="0.25">
      <c r="A1077" s="13"/>
      <c r="B1077" s="14"/>
      <c r="C1077" s="39"/>
      <c r="D1077" s="39"/>
      <c r="E1077" s="36" t="str">
        <f>IF(SUM(C1077:D1077)=0," ",SUM(C1077:D1077))</f>
        <v xml:space="preserve"> </v>
      </c>
      <c r="F1077" s="14"/>
      <c r="G1077" s="120" t="e">
        <f>VLOOKUP($B1077,Information!$C$8:$F$15,4,FALSE)</f>
        <v>#N/A</v>
      </c>
      <c r="H1077" s="210" t="str">
        <f>TEXT(A1077,"ddd")</f>
        <v>Sat</v>
      </c>
    </row>
    <row r="1078" spans="1:8" x14ac:dyDescent="0.25">
      <c r="A1078" s="13"/>
      <c r="B1078" s="14"/>
      <c r="C1078" s="39"/>
      <c r="D1078" s="39"/>
      <c r="E1078" s="36" t="str">
        <f>IF(SUM(C1078:D1078)=0," ",SUM(C1078:D1078))</f>
        <v xml:space="preserve"> </v>
      </c>
      <c r="F1078" s="14"/>
      <c r="G1078" s="120" t="e">
        <f>VLOOKUP($B1078,Information!$C$8:$F$15,4,FALSE)</f>
        <v>#N/A</v>
      </c>
      <c r="H1078" s="210" t="str">
        <f>TEXT(A1078,"ddd")</f>
        <v>Sat</v>
      </c>
    </row>
    <row r="1079" spans="1:8" x14ac:dyDescent="0.25">
      <c r="A1079" s="13"/>
      <c r="B1079" s="14"/>
      <c r="C1079" s="39"/>
      <c r="D1079" s="39"/>
      <c r="E1079" s="36" t="str">
        <f>IF(SUM(C1079:D1079)=0," ",SUM(C1079:D1079))</f>
        <v xml:space="preserve"> </v>
      </c>
      <c r="F1079" s="14"/>
      <c r="G1079" s="120" t="e">
        <f>VLOOKUP($B1079,Information!$C$8:$F$15,4,FALSE)</f>
        <v>#N/A</v>
      </c>
      <c r="H1079" s="210" t="str">
        <f>TEXT(A1079,"ddd")</f>
        <v>Sat</v>
      </c>
    </row>
    <row r="1080" spans="1:8" x14ac:dyDescent="0.25">
      <c r="A1080" s="13"/>
      <c r="B1080" s="14"/>
      <c r="C1080" s="39"/>
      <c r="D1080" s="39"/>
      <c r="E1080" s="36" t="str">
        <f>IF(SUM(C1080:D1080)=0," ",SUM(C1080:D1080))</f>
        <v xml:space="preserve"> </v>
      </c>
      <c r="F1080" s="14"/>
      <c r="G1080" s="120" t="e">
        <f>VLOOKUP($B1080,Information!$C$8:$F$15,4,FALSE)</f>
        <v>#N/A</v>
      </c>
      <c r="H1080" s="210" t="str">
        <f>TEXT(A1080,"ddd")</f>
        <v>Sat</v>
      </c>
    </row>
    <row r="1081" spans="1:8" x14ac:dyDescent="0.25">
      <c r="A1081" s="13"/>
      <c r="B1081" s="14"/>
      <c r="C1081" s="39"/>
      <c r="D1081" s="39"/>
      <c r="E1081" s="36" t="str">
        <f>IF(SUM(C1081:D1081)=0," ",SUM(C1081:D1081))</f>
        <v xml:space="preserve"> </v>
      </c>
      <c r="F1081" s="14"/>
      <c r="G1081" s="120" t="e">
        <f>VLOOKUP($B1081,Information!$C$8:$F$15,4,FALSE)</f>
        <v>#N/A</v>
      </c>
      <c r="H1081" s="210" t="str">
        <f>TEXT(A1081,"ddd")</f>
        <v>Sat</v>
      </c>
    </row>
    <row r="1082" spans="1:8" x14ac:dyDescent="0.25">
      <c r="A1082" s="13"/>
      <c r="B1082" s="14"/>
      <c r="C1082" s="39"/>
      <c r="D1082" s="39"/>
      <c r="E1082" s="36" t="str">
        <f>IF(SUM(C1082:D1082)=0," ",SUM(C1082:D1082))</f>
        <v xml:space="preserve"> </v>
      </c>
      <c r="F1082" s="14"/>
      <c r="G1082" s="120" t="e">
        <f>VLOOKUP($B1082,Information!$C$8:$F$15,4,FALSE)</f>
        <v>#N/A</v>
      </c>
      <c r="H1082" s="210" t="str">
        <f>TEXT(A1082,"ddd")</f>
        <v>Sat</v>
      </c>
    </row>
    <row r="1083" spans="1:8" x14ac:dyDescent="0.25">
      <c r="A1083" s="13"/>
      <c r="B1083" s="14"/>
      <c r="C1083" s="39"/>
      <c r="D1083" s="39"/>
      <c r="E1083" s="36" t="str">
        <f>IF(SUM(C1083:D1083)=0," ",SUM(C1083:D1083))</f>
        <v xml:space="preserve"> </v>
      </c>
      <c r="F1083" s="14"/>
      <c r="G1083" s="120" t="e">
        <f>VLOOKUP($B1083,Information!$C$8:$F$15,4,FALSE)</f>
        <v>#N/A</v>
      </c>
      <c r="H1083" s="210" t="str">
        <f>TEXT(A1083,"ddd")</f>
        <v>Sat</v>
      </c>
    </row>
    <row r="1084" spans="1:8" x14ac:dyDescent="0.25">
      <c r="A1084" s="13"/>
      <c r="B1084" s="14"/>
      <c r="C1084" s="39"/>
      <c r="D1084" s="39"/>
      <c r="E1084" s="36" t="str">
        <f>IF(SUM(C1084:D1084)=0," ",SUM(C1084:D1084))</f>
        <v xml:space="preserve"> </v>
      </c>
      <c r="F1084" s="14"/>
      <c r="G1084" s="120" t="e">
        <f>VLOOKUP($B1084,Information!$C$8:$F$15,4,FALSE)</f>
        <v>#N/A</v>
      </c>
      <c r="H1084" s="210" t="str">
        <f>TEXT(A1084,"ddd")</f>
        <v>Sat</v>
      </c>
    </row>
    <row r="1085" spans="1:8" x14ac:dyDescent="0.25">
      <c r="A1085" s="13"/>
      <c r="B1085" s="14"/>
      <c r="C1085" s="39"/>
      <c r="D1085" s="39"/>
      <c r="E1085" s="36" t="str">
        <f>IF(SUM(C1085:D1085)=0," ",SUM(C1085:D1085))</f>
        <v xml:space="preserve"> </v>
      </c>
      <c r="F1085" s="14"/>
      <c r="G1085" s="120" t="e">
        <f>VLOOKUP($B1085,Information!$C$8:$F$15,4,FALSE)</f>
        <v>#N/A</v>
      </c>
      <c r="H1085" s="210" t="str">
        <f>TEXT(A1085,"ddd")</f>
        <v>Sat</v>
      </c>
    </row>
    <row r="1086" spans="1:8" x14ac:dyDescent="0.25">
      <c r="A1086" s="13"/>
      <c r="B1086" s="14"/>
      <c r="C1086" s="39"/>
      <c r="D1086" s="39"/>
      <c r="E1086" s="36" t="str">
        <f>IF(SUM(C1086:D1086)=0," ",SUM(C1086:D1086))</f>
        <v xml:space="preserve"> </v>
      </c>
      <c r="F1086" s="14"/>
      <c r="G1086" s="120" t="e">
        <f>VLOOKUP($B1086,Information!$C$8:$F$15,4,FALSE)</f>
        <v>#N/A</v>
      </c>
      <c r="H1086" s="210" t="str">
        <f>TEXT(A1086,"ddd")</f>
        <v>Sat</v>
      </c>
    </row>
    <row r="1087" spans="1:8" x14ac:dyDescent="0.25">
      <c r="A1087" s="13"/>
      <c r="B1087" s="14"/>
      <c r="C1087" s="39"/>
      <c r="D1087" s="39"/>
      <c r="E1087" s="36" t="str">
        <f>IF(SUM(C1087:D1087)=0," ",SUM(C1087:D1087))</f>
        <v xml:space="preserve"> </v>
      </c>
      <c r="F1087" s="14"/>
      <c r="G1087" s="120" t="e">
        <f>VLOOKUP($B1087,Information!$C$8:$F$15,4,FALSE)</f>
        <v>#N/A</v>
      </c>
      <c r="H1087" s="210" t="str">
        <f>TEXT(A1087,"ddd")</f>
        <v>Sat</v>
      </c>
    </row>
    <row r="1088" spans="1:8" x14ac:dyDescent="0.25">
      <c r="A1088" s="13"/>
      <c r="B1088" s="14"/>
      <c r="C1088" s="39"/>
      <c r="D1088" s="39"/>
      <c r="E1088" s="36" t="str">
        <f>IF(SUM(C1088:D1088)=0," ",SUM(C1088:D1088))</f>
        <v xml:space="preserve"> </v>
      </c>
      <c r="F1088" s="14"/>
      <c r="G1088" s="120" t="e">
        <f>VLOOKUP($B1088,Information!$C$8:$F$15,4,FALSE)</f>
        <v>#N/A</v>
      </c>
      <c r="H1088" s="210" t="str">
        <f>TEXT(A1088,"ddd")</f>
        <v>Sat</v>
      </c>
    </row>
    <row r="1089" spans="1:8" x14ac:dyDescent="0.25">
      <c r="A1089" s="13"/>
      <c r="B1089" s="14"/>
      <c r="C1089" s="39"/>
      <c r="D1089" s="39"/>
      <c r="E1089" s="36" t="str">
        <f>IF(SUM(C1089:D1089)=0," ",SUM(C1089:D1089))</f>
        <v xml:space="preserve"> </v>
      </c>
      <c r="F1089" s="14"/>
      <c r="G1089" s="120" t="e">
        <f>VLOOKUP($B1089,Information!$C$8:$F$15,4,FALSE)</f>
        <v>#N/A</v>
      </c>
      <c r="H1089" s="210" t="str">
        <f>TEXT(A1089,"ddd")</f>
        <v>Sat</v>
      </c>
    </row>
    <row r="1090" spans="1:8" x14ac:dyDescent="0.25">
      <c r="A1090" s="13"/>
      <c r="B1090" s="14"/>
      <c r="C1090" s="39"/>
      <c r="D1090" s="39"/>
      <c r="E1090" s="36" t="str">
        <f>IF(SUM(C1090:D1090)=0," ",SUM(C1090:D1090))</f>
        <v xml:space="preserve"> </v>
      </c>
      <c r="F1090" s="14"/>
      <c r="G1090" s="120" t="e">
        <f>VLOOKUP($B1090,Information!$C$8:$F$15,4,FALSE)</f>
        <v>#N/A</v>
      </c>
      <c r="H1090" s="210" t="str">
        <f>TEXT(A1090,"ddd")</f>
        <v>Sat</v>
      </c>
    </row>
    <row r="1091" spans="1:8" x14ac:dyDescent="0.25">
      <c r="A1091" s="13"/>
      <c r="B1091" s="14"/>
      <c r="C1091" s="39"/>
      <c r="D1091" s="39"/>
      <c r="E1091" s="36" t="str">
        <f>IF(SUM(C1091:D1091)=0," ",SUM(C1091:D1091))</f>
        <v xml:space="preserve"> </v>
      </c>
      <c r="F1091" s="14"/>
      <c r="G1091" s="120" t="e">
        <f>VLOOKUP($B1091,Information!$C$8:$F$15,4,FALSE)</f>
        <v>#N/A</v>
      </c>
      <c r="H1091" s="210" t="str">
        <f>TEXT(A1091,"ddd")</f>
        <v>Sat</v>
      </c>
    </row>
    <row r="1092" spans="1:8" x14ac:dyDescent="0.25">
      <c r="A1092" s="13"/>
      <c r="B1092" s="14"/>
      <c r="C1092" s="39"/>
      <c r="D1092" s="39"/>
      <c r="E1092" s="36" t="str">
        <f>IF(SUM(C1092:D1092)=0," ",SUM(C1092:D1092))</f>
        <v xml:space="preserve"> </v>
      </c>
      <c r="F1092" s="14"/>
      <c r="G1092" s="120" t="e">
        <f>VLOOKUP($B1092,Information!$C$8:$F$15,4,FALSE)</f>
        <v>#N/A</v>
      </c>
      <c r="H1092" s="210" t="str">
        <f>TEXT(A1092,"ddd")</f>
        <v>Sat</v>
      </c>
    </row>
    <row r="1093" spans="1:8" x14ac:dyDescent="0.25">
      <c r="A1093" s="13"/>
      <c r="B1093" s="14"/>
      <c r="C1093" s="39"/>
      <c r="D1093" s="39"/>
      <c r="E1093" s="36" t="str">
        <f>IF(SUM(C1093:D1093)=0," ",SUM(C1093:D1093))</f>
        <v xml:space="preserve"> </v>
      </c>
      <c r="F1093" s="14"/>
      <c r="G1093" s="120" t="e">
        <f>VLOOKUP($B1093,Information!$C$8:$F$15,4,FALSE)</f>
        <v>#N/A</v>
      </c>
      <c r="H1093" s="210" t="str">
        <f>TEXT(A1093,"ddd")</f>
        <v>Sat</v>
      </c>
    </row>
    <row r="1094" spans="1:8" x14ac:dyDescent="0.25">
      <c r="A1094" s="13"/>
      <c r="B1094" s="14"/>
      <c r="C1094" s="39"/>
      <c r="D1094" s="39"/>
      <c r="E1094" s="36" t="str">
        <f>IF(SUM(C1094:D1094)=0," ",SUM(C1094:D1094))</f>
        <v xml:space="preserve"> </v>
      </c>
      <c r="F1094" s="14"/>
      <c r="G1094" s="120" t="e">
        <f>VLOOKUP($B1094,Information!$C$8:$F$15,4,FALSE)</f>
        <v>#N/A</v>
      </c>
      <c r="H1094" s="210" t="str">
        <f>TEXT(A1094,"ddd")</f>
        <v>Sat</v>
      </c>
    </row>
    <row r="1095" spans="1:8" x14ac:dyDescent="0.25">
      <c r="A1095" s="13"/>
      <c r="B1095" s="14"/>
      <c r="C1095" s="39"/>
      <c r="D1095" s="39"/>
      <c r="E1095" s="36" t="str">
        <f>IF(SUM(C1095:D1095)=0," ",SUM(C1095:D1095))</f>
        <v xml:space="preserve"> </v>
      </c>
      <c r="F1095" s="14"/>
      <c r="G1095" s="120" t="e">
        <f>VLOOKUP($B1095,Information!$C$8:$F$15,4,FALSE)</f>
        <v>#N/A</v>
      </c>
      <c r="H1095" s="210" t="str">
        <f>TEXT(A1095,"ddd")</f>
        <v>Sat</v>
      </c>
    </row>
    <row r="1096" spans="1:8" x14ac:dyDescent="0.25">
      <c r="A1096" s="13"/>
      <c r="B1096" s="14"/>
      <c r="C1096" s="39"/>
      <c r="D1096" s="39"/>
      <c r="E1096" s="36" t="str">
        <f>IF(SUM(C1096:D1096)=0," ",SUM(C1096:D1096))</f>
        <v xml:space="preserve"> </v>
      </c>
      <c r="F1096" s="14"/>
      <c r="G1096" s="120" t="e">
        <f>VLOOKUP($B1096,Information!$C$8:$F$15,4,FALSE)</f>
        <v>#N/A</v>
      </c>
      <c r="H1096" s="210" t="str">
        <f>TEXT(A1096,"ddd")</f>
        <v>Sat</v>
      </c>
    </row>
    <row r="1097" spans="1:8" x14ac:dyDescent="0.25">
      <c r="A1097" s="13"/>
      <c r="B1097" s="14"/>
      <c r="C1097" s="39"/>
      <c r="D1097" s="39"/>
      <c r="E1097" s="36" t="str">
        <f>IF(SUM(C1097:D1097)=0," ",SUM(C1097:D1097))</f>
        <v xml:space="preserve"> </v>
      </c>
      <c r="F1097" s="14"/>
      <c r="G1097" s="120" t="e">
        <f>VLOOKUP($B1097,Information!$C$8:$F$15,4,FALSE)</f>
        <v>#N/A</v>
      </c>
      <c r="H1097" s="210" t="str">
        <f>TEXT(A1097,"ddd")</f>
        <v>Sat</v>
      </c>
    </row>
    <row r="1098" spans="1:8" x14ac:dyDescent="0.25">
      <c r="A1098" s="13"/>
      <c r="B1098" s="14"/>
      <c r="C1098" s="39"/>
      <c r="D1098" s="39"/>
      <c r="E1098" s="36" t="str">
        <f>IF(SUM(C1098:D1098)=0," ",SUM(C1098:D1098))</f>
        <v xml:space="preserve"> </v>
      </c>
      <c r="F1098" s="14"/>
      <c r="G1098" s="120" t="e">
        <f>VLOOKUP($B1098,Information!$C$8:$F$15,4,FALSE)</f>
        <v>#N/A</v>
      </c>
      <c r="H1098" s="210" t="str">
        <f>TEXT(A1098,"ddd")</f>
        <v>Sat</v>
      </c>
    </row>
    <row r="1099" spans="1:8" x14ac:dyDescent="0.25">
      <c r="A1099" s="13"/>
      <c r="B1099" s="14"/>
      <c r="C1099" s="39"/>
      <c r="D1099" s="39"/>
      <c r="E1099" s="36" t="str">
        <f>IF(SUM(C1099:D1099)=0," ",SUM(C1099:D1099))</f>
        <v xml:space="preserve"> </v>
      </c>
      <c r="F1099" s="14"/>
      <c r="G1099" s="120" t="e">
        <f>VLOOKUP($B1099,Information!$C$8:$F$15,4,FALSE)</f>
        <v>#N/A</v>
      </c>
      <c r="H1099" s="210" t="str">
        <f>TEXT(A1099,"ddd")</f>
        <v>Sat</v>
      </c>
    </row>
    <row r="1100" spans="1:8" x14ac:dyDescent="0.25">
      <c r="A1100" s="13"/>
      <c r="B1100" s="14"/>
      <c r="C1100" s="39"/>
      <c r="D1100" s="39"/>
      <c r="E1100" s="36" t="str">
        <f>IF(SUM(C1100:D1100)=0," ",SUM(C1100:D1100))</f>
        <v xml:space="preserve"> </v>
      </c>
      <c r="F1100" s="14"/>
      <c r="G1100" s="120" t="e">
        <f>VLOOKUP($B1100,Information!$C$8:$F$15,4,FALSE)</f>
        <v>#N/A</v>
      </c>
      <c r="H1100" s="210" t="str">
        <f>TEXT(A1100,"ddd")</f>
        <v>Sat</v>
      </c>
    </row>
    <row r="1101" spans="1:8" x14ac:dyDescent="0.25">
      <c r="A1101" s="13"/>
      <c r="B1101" s="14"/>
      <c r="C1101" s="39"/>
      <c r="D1101" s="39"/>
      <c r="E1101" s="36" t="str">
        <f>IF(SUM(C1101:D1101)=0," ",SUM(C1101:D1101))</f>
        <v xml:space="preserve"> </v>
      </c>
      <c r="F1101" s="14"/>
      <c r="G1101" s="120" t="e">
        <f>VLOOKUP($B1101,Information!$C$8:$F$15,4,FALSE)</f>
        <v>#N/A</v>
      </c>
      <c r="H1101" s="210" t="str">
        <f>TEXT(A1101,"ddd")</f>
        <v>Sat</v>
      </c>
    </row>
    <row r="1102" spans="1:8" x14ac:dyDescent="0.25">
      <c r="A1102" s="13"/>
      <c r="B1102" s="14"/>
      <c r="C1102" s="39"/>
      <c r="D1102" s="39"/>
      <c r="E1102" s="36" t="str">
        <f>IF(SUM(C1102:D1102)=0," ",SUM(C1102:D1102))</f>
        <v xml:space="preserve"> </v>
      </c>
      <c r="F1102" s="14"/>
      <c r="G1102" s="120" t="e">
        <f>VLOOKUP($B1102,Information!$C$8:$F$15,4,FALSE)</f>
        <v>#N/A</v>
      </c>
      <c r="H1102" s="210" t="str">
        <f>TEXT(A1102,"ddd")</f>
        <v>Sat</v>
      </c>
    </row>
    <row r="1103" spans="1:8" x14ac:dyDescent="0.25">
      <c r="A1103" s="13"/>
      <c r="B1103" s="14"/>
      <c r="C1103" s="39"/>
      <c r="D1103" s="39"/>
      <c r="E1103" s="36" t="str">
        <f>IF(SUM(C1103:D1103)=0," ",SUM(C1103:D1103))</f>
        <v xml:space="preserve"> </v>
      </c>
      <c r="F1103" s="14"/>
      <c r="G1103" s="120" t="e">
        <f>VLOOKUP($B1103,Information!$C$8:$F$15,4,FALSE)</f>
        <v>#N/A</v>
      </c>
      <c r="H1103" s="210" t="str">
        <f>TEXT(A1103,"ddd")</f>
        <v>Sat</v>
      </c>
    </row>
    <row r="1104" spans="1:8" x14ac:dyDescent="0.25">
      <c r="A1104" s="13"/>
      <c r="B1104" s="14"/>
      <c r="C1104" s="39"/>
      <c r="D1104" s="39"/>
      <c r="E1104" s="36" t="str">
        <f>IF(SUM(C1104:D1104)=0," ",SUM(C1104:D1104))</f>
        <v xml:space="preserve"> </v>
      </c>
      <c r="F1104" s="14"/>
      <c r="G1104" s="120" t="e">
        <f>VLOOKUP($B1104,Information!$C$8:$F$15,4,FALSE)</f>
        <v>#N/A</v>
      </c>
      <c r="H1104" s="210" t="str">
        <f>TEXT(A1104,"ddd")</f>
        <v>Sat</v>
      </c>
    </row>
    <row r="1105" spans="1:8" x14ac:dyDescent="0.25">
      <c r="A1105" s="13"/>
      <c r="B1105" s="14"/>
      <c r="C1105" s="39"/>
      <c r="D1105" s="39"/>
      <c r="E1105" s="36" t="str">
        <f>IF(SUM(C1105:D1105)=0," ",SUM(C1105:D1105))</f>
        <v xml:space="preserve"> </v>
      </c>
      <c r="F1105" s="14"/>
      <c r="G1105" s="120" t="e">
        <f>VLOOKUP($B1105,Information!$C$8:$F$15,4,FALSE)</f>
        <v>#N/A</v>
      </c>
      <c r="H1105" s="210" t="str">
        <f>TEXT(A1105,"ddd")</f>
        <v>Sat</v>
      </c>
    </row>
    <row r="1106" spans="1:8" x14ac:dyDescent="0.25">
      <c r="A1106" s="13"/>
      <c r="B1106" s="14"/>
      <c r="C1106" s="39"/>
      <c r="D1106" s="39"/>
      <c r="E1106" s="36" t="str">
        <f>IF(SUM(C1106:D1106)=0," ",SUM(C1106:D1106))</f>
        <v xml:space="preserve"> </v>
      </c>
      <c r="F1106" s="14"/>
      <c r="G1106" s="120" t="e">
        <f>VLOOKUP($B1106,Information!$C$8:$F$15,4,FALSE)</f>
        <v>#N/A</v>
      </c>
      <c r="H1106" s="210" t="str">
        <f>TEXT(A1106,"ddd")</f>
        <v>Sat</v>
      </c>
    </row>
    <row r="1107" spans="1:8" x14ac:dyDescent="0.25">
      <c r="A1107" s="13"/>
      <c r="B1107" s="14"/>
      <c r="C1107" s="39"/>
      <c r="D1107" s="39"/>
      <c r="E1107" s="36" t="str">
        <f>IF(SUM(C1107:D1107)=0," ",SUM(C1107:D1107))</f>
        <v xml:space="preserve"> </v>
      </c>
      <c r="F1107" s="14"/>
      <c r="G1107" s="120" t="e">
        <f>VLOOKUP($B1107,Information!$C$8:$F$15,4,FALSE)</f>
        <v>#N/A</v>
      </c>
      <c r="H1107" s="210" t="str">
        <f>TEXT(A1107,"ddd")</f>
        <v>Sat</v>
      </c>
    </row>
    <row r="1108" spans="1:8" x14ac:dyDescent="0.25">
      <c r="A1108" s="13"/>
      <c r="B1108" s="14"/>
      <c r="C1108" s="39"/>
      <c r="D1108" s="39"/>
      <c r="E1108" s="36" t="str">
        <f>IF(SUM(C1108:D1108)=0," ",SUM(C1108:D1108))</f>
        <v xml:space="preserve"> </v>
      </c>
      <c r="F1108" s="14"/>
      <c r="G1108" s="120" t="e">
        <f>VLOOKUP($B1108,Information!$C$8:$F$15,4,FALSE)</f>
        <v>#N/A</v>
      </c>
      <c r="H1108" s="210" t="str">
        <f>TEXT(A1108,"ddd")</f>
        <v>Sat</v>
      </c>
    </row>
    <row r="1109" spans="1:8" x14ac:dyDescent="0.25">
      <c r="A1109" s="13"/>
      <c r="B1109" s="14"/>
      <c r="C1109" s="39"/>
      <c r="D1109" s="39"/>
      <c r="E1109" s="36" t="str">
        <f>IF(SUM(C1109:D1109)=0," ",SUM(C1109:D1109))</f>
        <v xml:space="preserve"> </v>
      </c>
      <c r="F1109" s="14"/>
      <c r="G1109" s="120" t="e">
        <f>VLOOKUP($B1109,Information!$C$8:$F$15,4,FALSE)</f>
        <v>#N/A</v>
      </c>
      <c r="H1109" s="210" t="str">
        <f>TEXT(A1109,"ddd")</f>
        <v>Sat</v>
      </c>
    </row>
    <row r="1110" spans="1:8" x14ac:dyDescent="0.25">
      <c r="A1110" s="13"/>
      <c r="B1110" s="14"/>
      <c r="C1110" s="39"/>
      <c r="D1110" s="39"/>
      <c r="E1110" s="36" t="str">
        <f>IF(SUM(C1110:D1110)=0," ",SUM(C1110:D1110))</f>
        <v xml:space="preserve"> </v>
      </c>
      <c r="F1110" s="14"/>
      <c r="G1110" s="120" t="e">
        <f>VLOOKUP($B1110,Information!$C$8:$F$15,4,FALSE)</f>
        <v>#N/A</v>
      </c>
      <c r="H1110" s="210" t="str">
        <f>TEXT(A1110,"ddd")</f>
        <v>Sat</v>
      </c>
    </row>
    <row r="1111" spans="1:8" x14ac:dyDescent="0.25">
      <c r="A1111" s="13"/>
      <c r="B1111" s="14"/>
      <c r="C1111" s="39"/>
      <c r="D1111" s="39"/>
      <c r="E1111" s="36" t="str">
        <f>IF(SUM(C1111:D1111)=0," ",SUM(C1111:D1111))</f>
        <v xml:space="preserve"> </v>
      </c>
      <c r="F1111" s="14"/>
      <c r="G1111" s="120" t="e">
        <f>VLOOKUP($B1111,Information!$C$8:$F$15,4,FALSE)</f>
        <v>#N/A</v>
      </c>
      <c r="H1111" s="210" t="str">
        <f>TEXT(A1111,"ddd")</f>
        <v>Sat</v>
      </c>
    </row>
    <row r="1112" spans="1:8" x14ac:dyDescent="0.25">
      <c r="A1112" s="13"/>
      <c r="B1112" s="14"/>
      <c r="C1112" s="39"/>
      <c r="D1112" s="39"/>
      <c r="E1112" s="36" t="str">
        <f>IF(SUM(C1112:D1112)=0," ",SUM(C1112:D1112))</f>
        <v xml:space="preserve"> </v>
      </c>
      <c r="F1112" s="14"/>
      <c r="G1112" s="120" t="e">
        <f>VLOOKUP($B1112,Information!$C$8:$F$15,4,FALSE)</f>
        <v>#N/A</v>
      </c>
      <c r="H1112" s="210" t="str">
        <f>TEXT(A1112,"ddd")</f>
        <v>Sat</v>
      </c>
    </row>
    <row r="1113" spans="1:8" x14ac:dyDescent="0.25">
      <c r="A1113" s="13"/>
      <c r="B1113" s="14"/>
      <c r="C1113" s="39"/>
      <c r="D1113" s="39"/>
      <c r="E1113" s="36" t="str">
        <f>IF(SUM(C1113:D1113)=0," ",SUM(C1113:D1113))</f>
        <v xml:space="preserve"> </v>
      </c>
      <c r="F1113" s="14"/>
      <c r="G1113" s="120" t="e">
        <f>VLOOKUP($B1113,Information!$C$8:$F$15,4,FALSE)</f>
        <v>#N/A</v>
      </c>
      <c r="H1113" s="210" t="str">
        <f>TEXT(A1113,"ddd")</f>
        <v>Sat</v>
      </c>
    </row>
    <row r="1114" spans="1:8" x14ac:dyDescent="0.25">
      <c r="A1114" s="13"/>
      <c r="B1114" s="14"/>
      <c r="C1114" s="39"/>
      <c r="D1114" s="39"/>
      <c r="E1114" s="36" t="str">
        <f>IF(SUM(C1114:D1114)=0," ",SUM(C1114:D1114))</f>
        <v xml:space="preserve"> </v>
      </c>
      <c r="F1114" s="14"/>
      <c r="G1114" s="120" t="e">
        <f>VLOOKUP($B1114,Information!$C$8:$F$15,4,FALSE)</f>
        <v>#N/A</v>
      </c>
      <c r="H1114" s="210" t="str">
        <f>TEXT(A1114,"ddd")</f>
        <v>Sat</v>
      </c>
    </row>
    <row r="1115" spans="1:8" x14ac:dyDescent="0.25">
      <c r="A1115" s="13"/>
      <c r="B1115" s="14"/>
      <c r="C1115" s="39"/>
      <c r="D1115" s="39"/>
      <c r="E1115" s="36" t="str">
        <f>IF(SUM(C1115:D1115)=0," ",SUM(C1115:D1115))</f>
        <v xml:space="preserve"> </v>
      </c>
      <c r="F1115" s="14"/>
      <c r="G1115" s="120" t="e">
        <f>VLOOKUP($B1115,Information!$C$8:$F$15,4,FALSE)</f>
        <v>#N/A</v>
      </c>
      <c r="H1115" s="210" t="str">
        <f>TEXT(A1115,"ddd")</f>
        <v>Sat</v>
      </c>
    </row>
    <row r="1116" spans="1:8" x14ac:dyDescent="0.25">
      <c r="A1116" s="13"/>
      <c r="B1116" s="14"/>
      <c r="C1116" s="39"/>
      <c r="D1116" s="39"/>
      <c r="E1116" s="36" t="str">
        <f>IF(SUM(C1116:D1116)=0," ",SUM(C1116:D1116))</f>
        <v xml:space="preserve"> </v>
      </c>
      <c r="F1116" s="14"/>
      <c r="G1116" s="120" t="e">
        <f>VLOOKUP($B1116,Information!$C$8:$F$15,4,FALSE)</f>
        <v>#N/A</v>
      </c>
      <c r="H1116" s="210" t="str">
        <f>TEXT(A1116,"ddd")</f>
        <v>Sat</v>
      </c>
    </row>
    <row r="1117" spans="1:8" x14ac:dyDescent="0.25">
      <c r="A1117" s="13"/>
      <c r="B1117" s="14"/>
      <c r="C1117" s="39"/>
      <c r="D1117" s="39"/>
      <c r="E1117" s="36" t="str">
        <f>IF(SUM(C1117:D1117)=0," ",SUM(C1117:D1117))</f>
        <v xml:space="preserve"> </v>
      </c>
      <c r="F1117" s="14"/>
      <c r="G1117" s="120" t="e">
        <f>VLOOKUP($B1117,Information!$C$8:$F$15,4,FALSE)</f>
        <v>#N/A</v>
      </c>
      <c r="H1117" s="210" t="str">
        <f>TEXT(A1117,"ddd")</f>
        <v>Sat</v>
      </c>
    </row>
    <row r="1118" spans="1:8" x14ac:dyDescent="0.25">
      <c r="A1118" s="13"/>
      <c r="B1118" s="14"/>
      <c r="C1118" s="39"/>
      <c r="D1118" s="39"/>
      <c r="E1118" s="36" t="str">
        <f>IF(SUM(C1118:D1118)=0," ",SUM(C1118:D1118))</f>
        <v xml:space="preserve"> </v>
      </c>
      <c r="F1118" s="14"/>
      <c r="G1118" s="120" t="e">
        <f>VLOOKUP($B1118,Information!$C$8:$F$15,4,FALSE)</f>
        <v>#N/A</v>
      </c>
      <c r="H1118" s="210" t="str">
        <f>TEXT(A1118,"ddd")</f>
        <v>Sat</v>
      </c>
    </row>
    <row r="1119" spans="1:8" x14ac:dyDescent="0.25">
      <c r="A1119" s="13"/>
      <c r="B1119" s="14"/>
      <c r="C1119" s="39"/>
      <c r="D1119" s="39"/>
      <c r="E1119" s="36" t="str">
        <f>IF(SUM(C1119:D1119)=0," ",SUM(C1119:D1119))</f>
        <v xml:space="preserve"> </v>
      </c>
      <c r="F1119" s="14"/>
      <c r="G1119" s="120" t="e">
        <f>VLOOKUP($B1119,Information!$C$8:$F$15,4,FALSE)</f>
        <v>#N/A</v>
      </c>
      <c r="H1119" s="210" t="str">
        <f>TEXT(A1119,"ddd")</f>
        <v>Sat</v>
      </c>
    </row>
    <row r="1120" spans="1:8" x14ac:dyDescent="0.25">
      <c r="A1120" s="13"/>
      <c r="B1120" s="14"/>
      <c r="C1120" s="39"/>
      <c r="D1120" s="39"/>
      <c r="E1120" s="36" t="str">
        <f>IF(SUM(C1120:D1120)=0," ",SUM(C1120:D1120))</f>
        <v xml:space="preserve"> </v>
      </c>
      <c r="F1120" s="14"/>
      <c r="G1120" s="120" t="e">
        <f>VLOOKUP($B1120,Information!$C$8:$F$15,4,FALSE)</f>
        <v>#N/A</v>
      </c>
      <c r="H1120" s="210" t="str">
        <f>TEXT(A1120,"ddd")</f>
        <v>Sat</v>
      </c>
    </row>
    <row r="1121" spans="1:8" x14ac:dyDescent="0.25">
      <c r="A1121" s="13"/>
      <c r="B1121" s="14"/>
      <c r="C1121" s="39"/>
      <c r="D1121" s="39"/>
      <c r="E1121" s="36" t="str">
        <f>IF(SUM(C1121:D1121)=0," ",SUM(C1121:D1121))</f>
        <v xml:space="preserve"> </v>
      </c>
      <c r="F1121" s="14"/>
      <c r="G1121" s="120" t="e">
        <f>VLOOKUP($B1121,Information!$C$8:$F$15,4,FALSE)</f>
        <v>#N/A</v>
      </c>
      <c r="H1121" s="210" t="str">
        <f>TEXT(A1121,"ddd")</f>
        <v>Sat</v>
      </c>
    </row>
    <row r="1122" spans="1:8" x14ac:dyDescent="0.25">
      <c r="A1122" s="13"/>
      <c r="B1122" s="14"/>
      <c r="C1122" s="39"/>
      <c r="D1122" s="39"/>
      <c r="E1122" s="36" t="str">
        <f>IF(SUM(C1122:D1122)=0," ",SUM(C1122:D1122))</f>
        <v xml:space="preserve"> </v>
      </c>
      <c r="F1122" s="14"/>
      <c r="G1122" s="120" t="e">
        <f>VLOOKUP($B1122,Information!$C$8:$F$15,4,FALSE)</f>
        <v>#N/A</v>
      </c>
      <c r="H1122" s="210" t="str">
        <f>TEXT(A1122,"ddd")</f>
        <v>Sat</v>
      </c>
    </row>
    <row r="1123" spans="1:8" x14ac:dyDescent="0.25">
      <c r="A1123" s="13"/>
      <c r="B1123" s="14"/>
      <c r="C1123" s="39"/>
      <c r="D1123" s="39"/>
      <c r="E1123" s="36" t="str">
        <f>IF(SUM(C1123:D1123)=0," ",SUM(C1123:D1123))</f>
        <v xml:space="preserve"> </v>
      </c>
      <c r="F1123" s="14"/>
      <c r="G1123" s="120" t="e">
        <f>VLOOKUP($B1123,Information!$C$8:$F$15,4,FALSE)</f>
        <v>#N/A</v>
      </c>
      <c r="H1123" s="210" t="str">
        <f>TEXT(A1123,"ddd")</f>
        <v>Sat</v>
      </c>
    </row>
    <row r="1124" spans="1:8" x14ac:dyDescent="0.25">
      <c r="A1124" s="13"/>
      <c r="B1124" s="14"/>
      <c r="C1124" s="39"/>
      <c r="D1124" s="39"/>
      <c r="E1124" s="36" t="str">
        <f>IF(SUM(C1124:D1124)=0," ",SUM(C1124:D1124))</f>
        <v xml:space="preserve"> </v>
      </c>
      <c r="F1124" s="14"/>
      <c r="G1124" s="120" t="e">
        <f>VLOOKUP($B1124,Information!$C$8:$F$15,4,FALSE)</f>
        <v>#N/A</v>
      </c>
      <c r="H1124" s="210" t="str">
        <f>TEXT(A1124,"ddd")</f>
        <v>Sat</v>
      </c>
    </row>
    <row r="1125" spans="1:8" x14ac:dyDescent="0.25">
      <c r="A1125" s="13"/>
      <c r="B1125" s="14"/>
      <c r="C1125" s="39"/>
      <c r="D1125" s="39"/>
      <c r="E1125" s="36" t="str">
        <f>IF(SUM(C1125:D1125)=0," ",SUM(C1125:D1125))</f>
        <v xml:space="preserve"> </v>
      </c>
      <c r="F1125" s="14"/>
      <c r="G1125" s="120" t="e">
        <f>VLOOKUP($B1125,Information!$C$8:$F$15,4,FALSE)</f>
        <v>#N/A</v>
      </c>
      <c r="H1125" s="210" t="str">
        <f>TEXT(A1125,"ddd")</f>
        <v>Sat</v>
      </c>
    </row>
    <row r="1126" spans="1:8" x14ac:dyDescent="0.25">
      <c r="A1126" s="13"/>
      <c r="B1126" s="14"/>
      <c r="C1126" s="39"/>
      <c r="D1126" s="39"/>
      <c r="E1126" s="36" t="str">
        <f>IF(SUM(C1126:D1126)=0," ",SUM(C1126:D1126))</f>
        <v xml:space="preserve"> </v>
      </c>
      <c r="F1126" s="14"/>
      <c r="G1126" s="120" t="e">
        <f>VLOOKUP($B1126,Information!$C$8:$F$15,4,FALSE)</f>
        <v>#N/A</v>
      </c>
      <c r="H1126" s="210" t="str">
        <f>TEXT(A1126,"ddd")</f>
        <v>Sat</v>
      </c>
    </row>
    <row r="1127" spans="1:8" x14ac:dyDescent="0.25">
      <c r="A1127" s="13"/>
      <c r="B1127" s="14"/>
      <c r="C1127" s="39"/>
      <c r="D1127" s="39"/>
      <c r="E1127" s="36" t="str">
        <f>IF(SUM(C1127:D1127)=0," ",SUM(C1127:D1127))</f>
        <v xml:space="preserve"> </v>
      </c>
      <c r="F1127" s="14"/>
      <c r="G1127" s="120" t="e">
        <f>VLOOKUP($B1127,Information!$C$8:$F$15,4,FALSE)</f>
        <v>#N/A</v>
      </c>
      <c r="H1127" s="210" t="str">
        <f>TEXT(A1127,"ddd")</f>
        <v>Sat</v>
      </c>
    </row>
    <row r="1128" spans="1:8" x14ac:dyDescent="0.25">
      <c r="A1128" s="13"/>
      <c r="B1128" s="14"/>
      <c r="C1128" s="39"/>
      <c r="D1128" s="39"/>
      <c r="E1128" s="36" t="str">
        <f>IF(SUM(C1128:D1128)=0," ",SUM(C1128:D1128))</f>
        <v xml:space="preserve"> </v>
      </c>
      <c r="F1128" s="14"/>
      <c r="G1128" s="120" t="e">
        <f>VLOOKUP($B1128,Information!$C$8:$F$15,4,FALSE)</f>
        <v>#N/A</v>
      </c>
      <c r="H1128" s="210" t="str">
        <f>TEXT(A1128,"ddd")</f>
        <v>Sat</v>
      </c>
    </row>
    <row r="1129" spans="1:8" x14ac:dyDescent="0.25">
      <c r="A1129" s="13"/>
      <c r="B1129" s="14"/>
      <c r="C1129" s="39"/>
      <c r="D1129" s="39"/>
      <c r="E1129" s="36" t="str">
        <f>IF(SUM(C1129:D1129)=0," ",SUM(C1129:D1129))</f>
        <v xml:space="preserve"> </v>
      </c>
      <c r="F1129" s="14"/>
      <c r="G1129" s="120" t="e">
        <f>VLOOKUP($B1129,Information!$C$8:$F$15,4,FALSE)</f>
        <v>#N/A</v>
      </c>
      <c r="H1129" s="210" t="str">
        <f>TEXT(A1129,"ddd")</f>
        <v>Sat</v>
      </c>
    </row>
    <row r="1130" spans="1:8" x14ac:dyDescent="0.25">
      <c r="A1130" s="13"/>
      <c r="B1130" s="14"/>
      <c r="C1130" s="39"/>
      <c r="D1130" s="39"/>
      <c r="E1130" s="36" t="str">
        <f>IF(SUM(C1130:D1130)=0," ",SUM(C1130:D1130))</f>
        <v xml:space="preserve"> </v>
      </c>
      <c r="F1130" s="14"/>
      <c r="G1130" s="120" t="e">
        <f>VLOOKUP($B1130,Information!$C$8:$F$15,4,FALSE)</f>
        <v>#N/A</v>
      </c>
      <c r="H1130" s="210" t="str">
        <f>TEXT(A1130,"ddd")</f>
        <v>Sat</v>
      </c>
    </row>
    <row r="1131" spans="1:8" x14ac:dyDescent="0.25">
      <c r="A1131" s="13"/>
      <c r="B1131" s="14"/>
      <c r="C1131" s="39"/>
      <c r="D1131" s="39"/>
      <c r="E1131" s="36" t="str">
        <f>IF(SUM(C1131:D1131)=0," ",SUM(C1131:D1131))</f>
        <v xml:space="preserve"> </v>
      </c>
      <c r="F1131" s="14"/>
      <c r="G1131" s="120" t="e">
        <f>VLOOKUP($B1131,Information!$C$8:$F$15,4,FALSE)</f>
        <v>#N/A</v>
      </c>
      <c r="H1131" s="210" t="str">
        <f>TEXT(A1131,"ddd")</f>
        <v>Sat</v>
      </c>
    </row>
    <row r="1132" spans="1:8" x14ac:dyDescent="0.25">
      <c r="A1132" s="13"/>
      <c r="B1132" s="14"/>
      <c r="C1132" s="39"/>
      <c r="D1132" s="39"/>
      <c r="E1132" s="36" t="str">
        <f>IF(SUM(C1132:D1132)=0," ",SUM(C1132:D1132))</f>
        <v xml:space="preserve"> </v>
      </c>
      <c r="F1132" s="14"/>
      <c r="G1132" s="120" t="e">
        <f>VLOOKUP($B1132,Information!$C$8:$F$15,4,FALSE)</f>
        <v>#N/A</v>
      </c>
      <c r="H1132" s="210" t="str">
        <f>TEXT(A1132,"ddd")</f>
        <v>Sat</v>
      </c>
    </row>
    <row r="1133" spans="1:8" x14ac:dyDescent="0.25">
      <c r="A1133" s="13"/>
      <c r="B1133" s="14"/>
      <c r="C1133" s="39"/>
      <c r="D1133" s="39"/>
      <c r="E1133" s="36" t="str">
        <f>IF(SUM(C1133:D1133)=0," ",SUM(C1133:D1133))</f>
        <v xml:space="preserve"> </v>
      </c>
      <c r="F1133" s="14"/>
      <c r="G1133" s="120" t="e">
        <f>VLOOKUP($B1133,Information!$C$8:$F$15,4,FALSE)</f>
        <v>#N/A</v>
      </c>
      <c r="H1133" s="210" t="str">
        <f>TEXT(A1133,"ddd")</f>
        <v>Sat</v>
      </c>
    </row>
    <row r="1134" spans="1:8" x14ac:dyDescent="0.25">
      <c r="A1134" s="13"/>
      <c r="B1134" s="14"/>
      <c r="C1134" s="39"/>
      <c r="D1134" s="39"/>
      <c r="E1134" s="36" t="str">
        <f>IF(SUM(C1134:D1134)=0," ",SUM(C1134:D1134))</f>
        <v xml:space="preserve"> </v>
      </c>
      <c r="F1134" s="14"/>
      <c r="G1134" s="120" t="e">
        <f>VLOOKUP($B1134,Information!$C$8:$F$15,4,FALSE)</f>
        <v>#N/A</v>
      </c>
      <c r="H1134" s="210" t="str">
        <f>TEXT(A1134,"ddd")</f>
        <v>Sat</v>
      </c>
    </row>
    <row r="1135" spans="1:8" x14ac:dyDescent="0.25">
      <c r="A1135" s="13"/>
      <c r="B1135" s="14"/>
      <c r="C1135" s="39"/>
      <c r="D1135" s="39"/>
      <c r="E1135" s="36" t="str">
        <f>IF(SUM(C1135:D1135)=0," ",SUM(C1135:D1135))</f>
        <v xml:space="preserve"> </v>
      </c>
      <c r="F1135" s="14"/>
      <c r="G1135" s="120" t="e">
        <f>VLOOKUP($B1135,Information!$C$8:$F$15,4,FALSE)</f>
        <v>#N/A</v>
      </c>
      <c r="H1135" s="210" t="str">
        <f>TEXT(A1135,"ddd")</f>
        <v>Sat</v>
      </c>
    </row>
    <row r="1136" spans="1:8" x14ac:dyDescent="0.25">
      <c r="A1136" s="13"/>
      <c r="B1136" s="14"/>
      <c r="C1136" s="39"/>
      <c r="D1136" s="39"/>
      <c r="E1136" s="36" t="str">
        <f>IF(SUM(C1136:D1136)=0," ",SUM(C1136:D1136))</f>
        <v xml:space="preserve"> </v>
      </c>
      <c r="F1136" s="14"/>
      <c r="G1136" s="120" t="e">
        <f>VLOOKUP($B1136,Information!$C$8:$F$15,4,FALSE)</f>
        <v>#N/A</v>
      </c>
      <c r="H1136" s="210" t="str">
        <f>TEXT(A1136,"ddd")</f>
        <v>Sat</v>
      </c>
    </row>
    <row r="1137" spans="1:8" x14ac:dyDescent="0.25">
      <c r="A1137" s="13"/>
      <c r="B1137" s="14"/>
      <c r="C1137" s="39"/>
      <c r="D1137" s="39"/>
      <c r="E1137" s="36" t="str">
        <f>IF(SUM(C1137:D1137)=0," ",SUM(C1137:D1137))</f>
        <v xml:space="preserve"> </v>
      </c>
      <c r="F1137" s="14"/>
      <c r="G1137" s="120" t="e">
        <f>VLOOKUP($B1137,Information!$C$8:$F$15,4,FALSE)</f>
        <v>#N/A</v>
      </c>
      <c r="H1137" s="210" t="str">
        <f>TEXT(A1137,"ddd")</f>
        <v>Sat</v>
      </c>
    </row>
    <row r="1138" spans="1:8" x14ac:dyDescent="0.25">
      <c r="A1138" s="13"/>
      <c r="B1138" s="14"/>
      <c r="C1138" s="39"/>
      <c r="D1138" s="39"/>
      <c r="E1138" s="36" t="str">
        <f>IF(SUM(C1138:D1138)=0," ",SUM(C1138:D1138))</f>
        <v xml:space="preserve"> </v>
      </c>
      <c r="F1138" s="14"/>
      <c r="G1138" s="120" t="e">
        <f>VLOOKUP($B1138,Information!$C$8:$F$15,4,FALSE)</f>
        <v>#N/A</v>
      </c>
      <c r="H1138" s="210" t="str">
        <f>TEXT(A1138,"ddd")</f>
        <v>Sat</v>
      </c>
    </row>
    <row r="1139" spans="1:8" x14ac:dyDescent="0.25">
      <c r="A1139" s="13"/>
      <c r="B1139" s="14"/>
      <c r="C1139" s="39"/>
      <c r="D1139" s="39"/>
      <c r="E1139" s="36" t="str">
        <f>IF(SUM(C1139:D1139)=0," ",SUM(C1139:D1139))</f>
        <v xml:space="preserve"> </v>
      </c>
      <c r="F1139" s="14"/>
      <c r="G1139" s="120" t="e">
        <f>VLOOKUP($B1139,Information!$C$8:$F$15,4,FALSE)</f>
        <v>#N/A</v>
      </c>
      <c r="H1139" s="210" t="str">
        <f>TEXT(A1139,"ddd")</f>
        <v>Sat</v>
      </c>
    </row>
    <row r="1140" spans="1:8" x14ac:dyDescent="0.25">
      <c r="A1140" s="13"/>
      <c r="B1140" s="14"/>
      <c r="C1140" s="39"/>
      <c r="D1140" s="39"/>
      <c r="E1140" s="36" t="str">
        <f>IF(SUM(C1140:D1140)=0," ",SUM(C1140:D1140))</f>
        <v xml:space="preserve"> </v>
      </c>
      <c r="F1140" s="14"/>
      <c r="G1140" s="120" t="e">
        <f>VLOOKUP($B1140,Information!$C$8:$F$15,4,FALSE)</f>
        <v>#N/A</v>
      </c>
      <c r="H1140" s="210" t="str">
        <f>TEXT(A1140,"ddd")</f>
        <v>Sat</v>
      </c>
    </row>
    <row r="1141" spans="1:8" x14ac:dyDescent="0.25">
      <c r="A1141" s="13"/>
      <c r="B1141" s="14"/>
      <c r="C1141" s="39"/>
      <c r="D1141" s="39"/>
      <c r="E1141" s="36" t="str">
        <f>IF(SUM(C1141:D1141)=0," ",SUM(C1141:D1141))</f>
        <v xml:space="preserve"> </v>
      </c>
      <c r="F1141" s="14"/>
      <c r="G1141" s="120" t="e">
        <f>VLOOKUP($B1141,Information!$C$8:$F$15,4,FALSE)</f>
        <v>#N/A</v>
      </c>
      <c r="H1141" s="210" t="str">
        <f>TEXT(A1141,"ddd")</f>
        <v>Sat</v>
      </c>
    </row>
    <row r="1142" spans="1:8" x14ac:dyDescent="0.25">
      <c r="A1142" s="13"/>
      <c r="B1142" s="14"/>
      <c r="C1142" s="39"/>
      <c r="D1142" s="39"/>
      <c r="E1142" s="36" t="str">
        <f>IF(SUM(C1142:D1142)=0," ",SUM(C1142:D1142))</f>
        <v xml:space="preserve"> </v>
      </c>
      <c r="F1142" s="14"/>
      <c r="G1142" s="120" t="e">
        <f>VLOOKUP($B1142,Information!$C$8:$F$15,4,FALSE)</f>
        <v>#N/A</v>
      </c>
      <c r="H1142" s="210" t="str">
        <f>TEXT(A1142,"ddd")</f>
        <v>Sat</v>
      </c>
    </row>
    <row r="1143" spans="1:8" x14ac:dyDescent="0.25">
      <c r="A1143" s="13"/>
      <c r="B1143" s="14"/>
      <c r="C1143" s="39"/>
      <c r="D1143" s="39"/>
      <c r="E1143" s="36" t="str">
        <f>IF(SUM(C1143:D1143)=0," ",SUM(C1143:D1143))</f>
        <v xml:space="preserve"> </v>
      </c>
      <c r="F1143" s="14"/>
      <c r="G1143" s="120" t="e">
        <f>VLOOKUP($B1143,Information!$C$8:$F$15,4,FALSE)</f>
        <v>#N/A</v>
      </c>
      <c r="H1143" s="210" t="str">
        <f>TEXT(A1143,"ddd")</f>
        <v>Sat</v>
      </c>
    </row>
    <row r="1144" spans="1:8" x14ac:dyDescent="0.25">
      <c r="A1144" s="13"/>
      <c r="B1144" s="14"/>
      <c r="C1144" s="39"/>
      <c r="D1144" s="39"/>
      <c r="E1144" s="36" t="str">
        <f>IF(SUM(C1144:D1144)=0," ",SUM(C1144:D1144))</f>
        <v xml:space="preserve"> </v>
      </c>
      <c r="F1144" s="14"/>
      <c r="G1144" s="120" t="e">
        <f>VLOOKUP($B1144,Information!$C$8:$F$15,4,FALSE)</f>
        <v>#N/A</v>
      </c>
      <c r="H1144" s="210" t="str">
        <f>TEXT(A1144,"ddd")</f>
        <v>Sat</v>
      </c>
    </row>
    <row r="1145" spans="1:8" x14ac:dyDescent="0.25">
      <c r="A1145" s="13"/>
      <c r="B1145" s="14"/>
      <c r="C1145" s="39"/>
      <c r="D1145" s="39"/>
      <c r="E1145" s="36" t="str">
        <f>IF(SUM(C1145:D1145)=0," ",SUM(C1145:D1145))</f>
        <v xml:space="preserve"> </v>
      </c>
      <c r="F1145" s="14"/>
      <c r="G1145" s="120" t="e">
        <f>VLOOKUP($B1145,Information!$C$8:$F$15,4,FALSE)</f>
        <v>#N/A</v>
      </c>
      <c r="H1145" s="210" t="str">
        <f>TEXT(A1145,"ddd")</f>
        <v>Sat</v>
      </c>
    </row>
    <row r="1146" spans="1:8" x14ac:dyDescent="0.25">
      <c r="A1146" s="13"/>
      <c r="B1146" s="14"/>
      <c r="C1146" s="39"/>
      <c r="D1146" s="39"/>
      <c r="E1146" s="36" t="str">
        <f>IF(SUM(C1146:D1146)=0," ",SUM(C1146:D1146))</f>
        <v xml:space="preserve"> </v>
      </c>
      <c r="F1146" s="14"/>
      <c r="G1146" s="120" t="e">
        <f>VLOOKUP($B1146,Information!$C$8:$F$15,4,FALSE)</f>
        <v>#N/A</v>
      </c>
      <c r="H1146" s="210" t="str">
        <f>TEXT(A1146,"ddd")</f>
        <v>Sat</v>
      </c>
    </row>
    <row r="1147" spans="1:8" x14ac:dyDescent="0.25">
      <c r="A1147" s="13"/>
      <c r="B1147" s="14"/>
      <c r="C1147" s="39"/>
      <c r="D1147" s="39"/>
      <c r="E1147" s="36" t="str">
        <f>IF(SUM(C1147:D1147)=0," ",SUM(C1147:D1147))</f>
        <v xml:space="preserve"> </v>
      </c>
      <c r="F1147" s="14"/>
      <c r="G1147" s="120" t="e">
        <f>VLOOKUP($B1147,Information!$C$8:$F$15,4,FALSE)</f>
        <v>#N/A</v>
      </c>
      <c r="H1147" s="210" t="str">
        <f>TEXT(A1147,"ddd")</f>
        <v>Sat</v>
      </c>
    </row>
    <row r="1148" spans="1:8" x14ac:dyDescent="0.25">
      <c r="A1148" s="13"/>
      <c r="B1148" s="14"/>
      <c r="C1148" s="39"/>
      <c r="D1148" s="39"/>
      <c r="E1148" s="36" t="str">
        <f>IF(SUM(C1148:D1148)=0," ",SUM(C1148:D1148))</f>
        <v xml:space="preserve"> </v>
      </c>
      <c r="F1148" s="14"/>
      <c r="G1148" s="120" t="e">
        <f>VLOOKUP($B1148,Information!$C$8:$F$15,4,FALSE)</f>
        <v>#N/A</v>
      </c>
      <c r="H1148" s="210" t="str">
        <f>TEXT(A1148,"ddd")</f>
        <v>Sat</v>
      </c>
    </row>
    <row r="1149" spans="1:8" x14ac:dyDescent="0.25">
      <c r="A1149" s="13"/>
      <c r="B1149" s="14"/>
      <c r="C1149" s="39"/>
      <c r="D1149" s="39"/>
      <c r="E1149" s="36" t="str">
        <f>IF(SUM(C1149:D1149)=0," ",SUM(C1149:D1149))</f>
        <v xml:space="preserve"> </v>
      </c>
      <c r="F1149" s="14"/>
      <c r="G1149" s="120" t="e">
        <f>VLOOKUP($B1149,Information!$C$8:$F$15,4,FALSE)</f>
        <v>#N/A</v>
      </c>
      <c r="H1149" s="210" t="str">
        <f>TEXT(A1149,"ddd")</f>
        <v>Sat</v>
      </c>
    </row>
    <row r="1150" spans="1:8" x14ac:dyDescent="0.25">
      <c r="A1150" s="13"/>
      <c r="B1150" s="14"/>
      <c r="C1150" s="39"/>
      <c r="D1150" s="39"/>
      <c r="E1150" s="36" t="str">
        <f>IF(SUM(C1150:D1150)=0," ",SUM(C1150:D1150))</f>
        <v xml:space="preserve"> </v>
      </c>
      <c r="F1150" s="14"/>
      <c r="G1150" s="120" t="e">
        <f>VLOOKUP($B1150,Information!$C$8:$F$15,4,FALSE)</f>
        <v>#N/A</v>
      </c>
      <c r="H1150" s="210" t="str">
        <f>TEXT(A1150,"ddd")</f>
        <v>Sat</v>
      </c>
    </row>
    <row r="1151" spans="1:8" x14ac:dyDescent="0.25">
      <c r="A1151" s="13"/>
      <c r="B1151" s="14"/>
      <c r="C1151" s="39"/>
      <c r="D1151" s="39"/>
      <c r="E1151" s="36" t="str">
        <f>IF(SUM(C1151:D1151)=0," ",SUM(C1151:D1151))</f>
        <v xml:space="preserve"> </v>
      </c>
      <c r="F1151" s="14"/>
      <c r="G1151" s="120" t="e">
        <f>VLOOKUP($B1151,Information!$C$8:$F$15,4,FALSE)</f>
        <v>#N/A</v>
      </c>
      <c r="H1151" s="210" t="str">
        <f>TEXT(A1151,"ddd")</f>
        <v>Sat</v>
      </c>
    </row>
    <row r="1152" spans="1:8" x14ac:dyDescent="0.25">
      <c r="A1152" s="13"/>
      <c r="B1152" s="14"/>
      <c r="C1152" s="39"/>
      <c r="D1152" s="39"/>
      <c r="E1152" s="36" t="str">
        <f>IF(SUM(C1152:D1152)=0," ",SUM(C1152:D1152))</f>
        <v xml:space="preserve"> </v>
      </c>
      <c r="F1152" s="14"/>
      <c r="G1152" s="120" t="e">
        <f>VLOOKUP($B1152,Information!$C$8:$F$15,4,FALSE)</f>
        <v>#N/A</v>
      </c>
      <c r="H1152" s="210" t="str">
        <f>TEXT(A1152,"ddd")</f>
        <v>Sat</v>
      </c>
    </row>
    <row r="1153" spans="1:8" x14ac:dyDescent="0.25">
      <c r="A1153" s="13"/>
      <c r="B1153" s="14"/>
      <c r="C1153" s="39"/>
      <c r="D1153" s="39"/>
      <c r="E1153" s="36" t="str">
        <f>IF(SUM(C1153:D1153)=0," ",SUM(C1153:D1153))</f>
        <v xml:space="preserve"> </v>
      </c>
      <c r="F1153" s="14"/>
      <c r="G1153" s="120" t="e">
        <f>VLOOKUP($B1153,Information!$C$8:$F$15,4,FALSE)</f>
        <v>#N/A</v>
      </c>
      <c r="H1153" s="210" t="str">
        <f>TEXT(A1153,"ddd")</f>
        <v>Sat</v>
      </c>
    </row>
    <row r="1154" spans="1:8" x14ac:dyDescent="0.25">
      <c r="A1154" s="13"/>
      <c r="B1154" s="14"/>
      <c r="C1154" s="39"/>
      <c r="D1154" s="39"/>
      <c r="E1154" s="36" t="str">
        <f>IF(SUM(C1154:D1154)=0," ",SUM(C1154:D1154))</f>
        <v xml:space="preserve"> </v>
      </c>
      <c r="F1154" s="14"/>
      <c r="G1154" s="120" t="e">
        <f>VLOOKUP($B1154,Information!$C$8:$F$15,4,FALSE)</f>
        <v>#N/A</v>
      </c>
      <c r="H1154" s="210" t="str">
        <f>TEXT(A1154,"ddd")</f>
        <v>Sat</v>
      </c>
    </row>
    <row r="1155" spans="1:8" x14ac:dyDescent="0.25">
      <c r="A1155" s="13"/>
      <c r="B1155" s="14"/>
      <c r="C1155" s="39"/>
      <c r="D1155" s="39"/>
      <c r="E1155" s="36" t="str">
        <f>IF(SUM(C1155:D1155)=0," ",SUM(C1155:D1155))</f>
        <v xml:space="preserve"> </v>
      </c>
      <c r="F1155" s="14"/>
      <c r="G1155" s="120" t="e">
        <f>VLOOKUP($B1155,Information!$C$8:$F$15,4,FALSE)</f>
        <v>#N/A</v>
      </c>
      <c r="H1155" s="210" t="str">
        <f>TEXT(A1155,"ddd")</f>
        <v>Sat</v>
      </c>
    </row>
    <row r="1156" spans="1:8" x14ac:dyDescent="0.25">
      <c r="A1156" s="13"/>
      <c r="B1156" s="14"/>
      <c r="C1156" s="39"/>
      <c r="D1156" s="39"/>
      <c r="E1156" s="36" t="str">
        <f>IF(SUM(C1156:D1156)=0," ",SUM(C1156:D1156))</f>
        <v xml:space="preserve"> </v>
      </c>
      <c r="F1156" s="14"/>
      <c r="G1156" s="120" t="e">
        <f>VLOOKUP($B1156,Information!$C$8:$F$15,4,FALSE)</f>
        <v>#N/A</v>
      </c>
      <c r="H1156" s="210" t="str">
        <f>TEXT(A1156,"ddd")</f>
        <v>Sat</v>
      </c>
    </row>
    <row r="1157" spans="1:8" x14ac:dyDescent="0.25">
      <c r="A1157" s="13"/>
      <c r="B1157" s="14"/>
      <c r="C1157" s="39"/>
      <c r="D1157" s="39"/>
      <c r="E1157" s="36" t="str">
        <f>IF(SUM(C1157:D1157)=0," ",SUM(C1157:D1157))</f>
        <v xml:space="preserve"> </v>
      </c>
      <c r="F1157" s="14"/>
      <c r="G1157" s="120" t="e">
        <f>VLOOKUP($B1157,Information!$C$8:$F$15,4,FALSE)</f>
        <v>#N/A</v>
      </c>
      <c r="H1157" s="210" t="str">
        <f>TEXT(A1157,"ddd")</f>
        <v>Sat</v>
      </c>
    </row>
    <row r="1158" spans="1:8" x14ac:dyDescent="0.25">
      <c r="A1158" s="13"/>
      <c r="B1158" s="14"/>
      <c r="C1158" s="39"/>
      <c r="D1158" s="39"/>
      <c r="E1158" s="36" t="str">
        <f>IF(SUM(C1158:D1158)=0," ",SUM(C1158:D1158))</f>
        <v xml:space="preserve"> </v>
      </c>
      <c r="F1158" s="14"/>
      <c r="G1158" s="120" t="e">
        <f>VLOOKUP($B1158,Information!$C$8:$F$15,4,FALSE)</f>
        <v>#N/A</v>
      </c>
      <c r="H1158" s="210" t="str">
        <f>TEXT(A1158,"ddd")</f>
        <v>Sat</v>
      </c>
    </row>
    <row r="1159" spans="1:8" x14ac:dyDescent="0.25">
      <c r="A1159" s="13"/>
      <c r="B1159" s="14"/>
      <c r="C1159" s="39"/>
      <c r="D1159" s="39"/>
      <c r="E1159" s="36" t="str">
        <f>IF(SUM(C1159:D1159)=0," ",SUM(C1159:D1159))</f>
        <v xml:space="preserve"> </v>
      </c>
      <c r="F1159" s="14"/>
      <c r="G1159" s="120" t="e">
        <f>VLOOKUP($B1159,Information!$C$8:$F$15,4,FALSE)</f>
        <v>#N/A</v>
      </c>
      <c r="H1159" s="210" t="str">
        <f>TEXT(A1159,"ddd")</f>
        <v>Sat</v>
      </c>
    </row>
    <row r="1160" spans="1:8" x14ac:dyDescent="0.25">
      <c r="A1160" s="13"/>
      <c r="B1160" s="14"/>
      <c r="C1160" s="39"/>
      <c r="D1160" s="39"/>
      <c r="E1160" s="36" t="str">
        <f>IF(SUM(C1160:D1160)=0," ",SUM(C1160:D1160))</f>
        <v xml:space="preserve"> </v>
      </c>
      <c r="F1160" s="14"/>
      <c r="G1160" s="120" t="e">
        <f>VLOOKUP($B1160,Information!$C$8:$F$15,4,FALSE)</f>
        <v>#N/A</v>
      </c>
      <c r="H1160" s="210" t="str">
        <f>TEXT(A1160,"ddd")</f>
        <v>Sat</v>
      </c>
    </row>
    <row r="1161" spans="1:8" x14ac:dyDescent="0.25">
      <c r="A1161" s="13"/>
      <c r="B1161" s="14"/>
      <c r="C1161" s="39"/>
      <c r="D1161" s="39"/>
      <c r="E1161" s="36" t="str">
        <f>IF(SUM(C1161:D1161)=0," ",SUM(C1161:D1161))</f>
        <v xml:space="preserve"> </v>
      </c>
      <c r="F1161" s="14"/>
      <c r="G1161" s="120" t="e">
        <f>VLOOKUP($B1161,Information!$C$8:$F$15,4,FALSE)</f>
        <v>#N/A</v>
      </c>
      <c r="H1161" s="210" t="str">
        <f>TEXT(A1161,"ddd")</f>
        <v>Sat</v>
      </c>
    </row>
    <row r="1162" spans="1:8" x14ac:dyDescent="0.25">
      <c r="A1162" s="13"/>
      <c r="B1162" s="14"/>
      <c r="C1162" s="39"/>
      <c r="D1162" s="39"/>
      <c r="E1162" s="36" t="str">
        <f>IF(SUM(C1162:D1162)=0," ",SUM(C1162:D1162))</f>
        <v xml:space="preserve"> </v>
      </c>
      <c r="F1162" s="14"/>
      <c r="G1162" s="120" t="e">
        <f>VLOOKUP($B1162,Information!$C$8:$F$15,4,FALSE)</f>
        <v>#N/A</v>
      </c>
      <c r="H1162" s="210" t="str">
        <f>TEXT(A1162,"ddd")</f>
        <v>Sat</v>
      </c>
    </row>
    <row r="1163" spans="1:8" x14ac:dyDescent="0.25">
      <c r="A1163" s="13"/>
      <c r="B1163" s="14"/>
      <c r="C1163" s="39"/>
      <c r="D1163" s="39"/>
      <c r="E1163" s="36" t="str">
        <f>IF(SUM(C1163:D1163)=0," ",SUM(C1163:D1163))</f>
        <v xml:space="preserve"> </v>
      </c>
      <c r="F1163" s="14"/>
      <c r="G1163" s="120" t="e">
        <f>VLOOKUP($B1163,Information!$C$8:$F$15,4,FALSE)</f>
        <v>#N/A</v>
      </c>
      <c r="H1163" s="210" t="str">
        <f>TEXT(A1163,"ddd")</f>
        <v>Sat</v>
      </c>
    </row>
    <row r="1164" spans="1:8" x14ac:dyDescent="0.25">
      <c r="A1164" s="13"/>
      <c r="B1164" s="14"/>
      <c r="C1164" s="39"/>
      <c r="D1164" s="39"/>
      <c r="E1164" s="36" t="str">
        <f>IF(SUM(C1164:D1164)=0," ",SUM(C1164:D1164))</f>
        <v xml:space="preserve"> </v>
      </c>
      <c r="F1164" s="14"/>
      <c r="G1164" s="120" t="e">
        <f>VLOOKUP($B1164,Information!$C$8:$F$15,4,FALSE)</f>
        <v>#N/A</v>
      </c>
      <c r="H1164" s="210" t="str">
        <f>TEXT(A1164,"ddd")</f>
        <v>Sat</v>
      </c>
    </row>
    <row r="1165" spans="1:8" x14ac:dyDescent="0.25">
      <c r="A1165" s="13"/>
      <c r="B1165" s="14"/>
      <c r="C1165" s="39"/>
      <c r="D1165" s="39"/>
      <c r="E1165" s="36" t="str">
        <f>IF(SUM(C1165:D1165)=0," ",SUM(C1165:D1165))</f>
        <v xml:space="preserve"> </v>
      </c>
      <c r="F1165" s="14"/>
      <c r="G1165" s="120" t="e">
        <f>VLOOKUP($B1165,Information!$C$8:$F$15,4,FALSE)</f>
        <v>#N/A</v>
      </c>
      <c r="H1165" s="210" t="str">
        <f>TEXT(A1165,"ddd")</f>
        <v>Sat</v>
      </c>
    </row>
    <row r="1166" spans="1:8" x14ac:dyDescent="0.25">
      <c r="A1166" s="13"/>
      <c r="B1166" s="14"/>
      <c r="C1166" s="39"/>
      <c r="D1166" s="39"/>
      <c r="E1166" s="36" t="str">
        <f>IF(SUM(C1166:D1166)=0," ",SUM(C1166:D1166))</f>
        <v xml:space="preserve"> </v>
      </c>
      <c r="F1166" s="14"/>
      <c r="G1166" s="120" t="e">
        <f>VLOOKUP($B1166,Information!$C$8:$F$15,4,FALSE)</f>
        <v>#N/A</v>
      </c>
      <c r="H1166" s="210" t="str">
        <f>TEXT(A1166,"ddd")</f>
        <v>Sat</v>
      </c>
    </row>
    <row r="1167" spans="1:8" x14ac:dyDescent="0.25">
      <c r="A1167" s="13"/>
      <c r="B1167" s="14"/>
      <c r="C1167" s="39"/>
      <c r="D1167" s="39"/>
      <c r="E1167" s="36" t="str">
        <f>IF(SUM(C1167:D1167)=0," ",SUM(C1167:D1167))</f>
        <v xml:space="preserve"> </v>
      </c>
      <c r="F1167" s="14"/>
      <c r="G1167" s="120" t="e">
        <f>VLOOKUP($B1167,Information!$C$8:$F$15,4,FALSE)</f>
        <v>#N/A</v>
      </c>
      <c r="H1167" s="210" t="str">
        <f>TEXT(A1167,"ddd")</f>
        <v>Sat</v>
      </c>
    </row>
    <row r="1168" spans="1:8" x14ac:dyDescent="0.25">
      <c r="A1168" s="13"/>
      <c r="B1168" s="14"/>
      <c r="C1168" s="39"/>
      <c r="D1168" s="39"/>
      <c r="E1168" s="36" t="str">
        <f>IF(SUM(C1168:D1168)=0," ",SUM(C1168:D1168))</f>
        <v xml:space="preserve"> </v>
      </c>
      <c r="F1168" s="14"/>
      <c r="G1168" s="120" t="e">
        <f>VLOOKUP($B1168,Information!$C$8:$F$15,4,FALSE)</f>
        <v>#N/A</v>
      </c>
      <c r="H1168" s="210" t="str">
        <f>TEXT(A1168,"ddd")</f>
        <v>Sat</v>
      </c>
    </row>
    <row r="1169" spans="1:8" x14ac:dyDescent="0.25">
      <c r="A1169" s="13"/>
      <c r="B1169" s="14"/>
      <c r="C1169" s="39"/>
      <c r="D1169" s="39"/>
      <c r="E1169" s="36" t="str">
        <f>IF(SUM(C1169:D1169)=0," ",SUM(C1169:D1169))</f>
        <v xml:space="preserve"> </v>
      </c>
      <c r="F1169" s="14"/>
      <c r="G1169" s="120" t="e">
        <f>VLOOKUP($B1169,Information!$C$8:$F$15,4,FALSE)</f>
        <v>#N/A</v>
      </c>
      <c r="H1169" s="210" t="str">
        <f>TEXT(A1169,"ddd")</f>
        <v>Sat</v>
      </c>
    </row>
    <row r="1170" spans="1:8" x14ac:dyDescent="0.25">
      <c r="A1170" s="13"/>
      <c r="B1170" s="14"/>
      <c r="C1170" s="39"/>
      <c r="D1170" s="39"/>
      <c r="E1170" s="36" t="str">
        <f>IF(SUM(C1170:D1170)=0," ",SUM(C1170:D1170))</f>
        <v xml:space="preserve"> </v>
      </c>
      <c r="F1170" s="14"/>
      <c r="G1170" s="120" t="e">
        <f>VLOOKUP($B1170,Information!$C$8:$F$15,4,FALSE)</f>
        <v>#N/A</v>
      </c>
      <c r="H1170" s="210" t="str">
        <f>TEXT(A1170,"ddd")</f>
        <v>Sat</v>
      </c>
    </row>
    <row r="1171" spans="1:8" x14ac:dyDescent="0.25">
      <c r="A1171" s="13"/>
      <c r="B1171" s="14"/>
      <c r="C1171" s="39"/>
      <c r="D1171" s="39"/>
      <c r="E1171" s="36" t="str">
        <f>IF(SUM(C1171:D1171)=0," ",SUM(C1171:D1171))</f>
        <v xml:space="preserve"> </v>
      </c>
      <c r="F1171" s="14"/>
      <c r="G1171" s="120" t="e">
        <f>VLOOKUP($B1171,Information!$C$8:$F$15,4,FALSE)</f>
        <v>#N/A</v>
      </c>
      <c r="H1171" s="210" t="str">
        <f>TEXT(A1171,"ddd")</f>
        <v>Sat</v>
      </c>
    </row>
    <row r="1172" spans="1:8" x14ac:dyDescent="0.25">
      <c r="A1172" s="13"/>
      <c r="B1172" s="14"/>
      <c r="C1172" s="39"/>
      <c r="D1172" s="39"/>
      <c r="E1172" s="36" t="str">
        <f>IF(SUM(C1172:D1172)=0," ",SUM(C1172:D1172))</f>
        <v xml:space="preserve"> </v>
      </c>
      <c r="F1172" s="14"/>
      <c r="G1172" s="120" t="e">
        <f>VLOOKUP($B1172,Information!$C$8:$F$15,4,FALSE)</f>
        <v>#N/A</v>
      </c>
      <c r="H1172" s="210" t="str">
        <f>TEXT(A1172,"ddd")</f>
        <v>Sat</v>
      </c>
    </row>
    <row r="1173" spans="1:8" x14ac:dyDescent="0.25">
      <c r="A1173" s="13"/>
      <c r="B1173" s="14"/>
      <c r="C1173" s="39"/>
      <c r="D1173" s="39"/>
      <c r="E1173" s="36" t="str">
        <f>IF(SUM(C1173:D1173)=0," ",SUM(C1173:D1173))</f>
        <v xml:space="preserve"> </v>
      </c>
      <c r="F1173" s="14"/>
      <c r="G1173" s="120" t="e">
        <f>VLOOKUP($B1173,Information!$C$8:$F$15,4,FALSE)</f>
        <v>#N/A</v>
      </c>
      <c r="H1173" s="210" t="str">
        <f>TEXT(A1173,"ddd")</f>
        <v>Sat</v>
      </c>
    </row>
    <row r="1174" spans="1:8" x14ac:dyDescent="0.25">
      <c r="A1174" s="13"/>
      <c r="B1174" s="14"/>
      <c r="C1174" s="39"/>
      <c r="D1174" s="39"/>
      <c r="E1174" s="36" t="str">
        <f>IF(SUM(C1174:D1174)=0," ",SUM(C1174:D1174))</f>
        <v xml:space="preserve"> </v>
      </c>
      <c r="F1174" s="14"/>
      <c r="G1174" s="120" t="e">
        <f>VLOOKUP($B1174,Information!$C$8:$F$15,4,FALSE)</f>
        <v>#N/A</v>
      </c>
      <c r="H1174" s="210" t="str">
        <f>TEXT(A1174,"ddd")</f>
        <v>Sat</v>
      </c>
    </row>
    <row r="1175" spans="1:8" x14ac:dyDescent="0.25">
      <c r="A1175" s="13"/>
      <c r="B1175" s="14"/>
      <c r="C1175" s="39"/>
      <c r="D1175" s="39"/>
      <c r="E1175" s="36" t="str">
        <f>IF(SUM(C1175:D1175)=0," ",SUM(C1175:D1175))</f>
        <v xml:space="preserve"> </v>
      </c>
      <c r="F1175" s="14"/>
      <c r="G1175" s="120" t="e">
        <f>VLOOKUP($B1175,Information!$C$8:$F$15,4,FALSE)</f>
        <v>#N/A</v>
      </c>
      <c r="H1175" s="210" t="str">
        <f>TEXT(A1175,"ddd")</f>
        <v>Sat</v>
      </c>
    </row>
    <row r="1176" spans="1:8" x14ac:dyDescent="0.25">
      <c r="A1176" s="13"/>
      <c r="B1176" s="14"/>
      <c r="C1176" s="39"/>
      <c r="D1176" s="39"/>
      <c r="E1176" s="36" t="str">
        <f>IF(SUM(C1176:D1176)=0," ",SUM(C1176:D1176))</f>
        <v xml:space="preserve"> </v>
      </c>
      <c r="F1176" s="14"/>
      <c r="G1176" s="120" t="e">
        <f>VLOOKUP($B1176,Information!$C$8:$F$15,4,FALSE)</f>
        <v>#N/A</v>
      </c>
      <c r="H1176" s="210" t="str">
        <f>TEXT(A1176,"ddd")</f>
        <v>Sat</v>
      </c>
    </row>
    <row r="1177" spans="1:8" x14ac:dyDescent="0.25">
      <c r="A1177" s="13"/>
      <c r="B1177" s="14"/>
      <c r="C1177" s="39"/>
      <c r="D1177" s="39"/>
      <c r="E1177" s="36" t="str">
        <f>IF(SUM(C1177:D1177)=0," ",SUM(C1177:D1177))</f>
        <v xml:space="preserve"> </v>
      </c>
      <c r="F1177" s="14"/>
      <c r="G1177" s="120" t="e">
        <f>VLOOKUP($B1177,Information!$C$8:$F$15,4,FALSE)</f>
        <v>#N/A</v>
      </c>
      <c r="H1177" s="210" t="str">
        <f>TEXT(A1177,"ddd")</f>
        <v>Sat</v>
      </c>
    </row>
    <row r="1178" spans="1:8" x14ac:dyDescent="0.25">
      <c r="A1178" s="13"/>
      <c r="B1178" s="14"/>
      <c r="C1178" s="39"/>
      <c r="D1178" s="39"/>
      <c r="E1178" s="36" t="str">
        <f>IF(SUM(C1178:D1178)=0," ",SUM(C1178:D1178))</f>
        <v xml:space="preserve"> </v>
      </c>
      <c r="F1178" s="14"/>
      <c r="G1178" s="120" t="e">
        <f>VLOOKUP($B1178,Information!$C$8:$F$15,4,FALSE)</f>
        <v>#N/A</v>
      </c>
      <c r="H1178" s="210" t="str">
        <f>TEXT(A1178,"ddd")</f>
        <v>Sat</v>
      </c>
    </row>
    <row r="1179" spans="1:8" x14ac:dyDescent="0.25">
      <c r="A1179" s="13"/>
      <c r="B1179" s="14"/>
      <c r="C1179" s="39"/>
      <c r="D1179" s="39"/>
      <c r="E1179" s="36" t="str">
        <f>IF(SUM(C1179:D1179)=0," ",SUM(C1179:D1179))</f>
        <v xml:space="preserve"> </v>
      </c>
      <c r="F1179" s="14"/>
      <c r="G1179" s="120" t="e">
        <f>VLOOKUP($B1179,Information!$C$8:$F$15,4,FALSE)</f>
        <v>#N/A</v>
      </c>
      <c r="H1179" s="210" t="str">
        <f>TEXT(A1179,"ddd")</f>
        <v>Sat</v>
      </c>
    </row>
    <row r="1180" spans="1:8" x14ac:dyDescent="0.25">
      <c r="A1180" s="13"/>
      <c r="B1180" s="14"/>
      <c r="C1180" s="39"/>
      <c r="D1180" s="39"/>
      <c r="E1180" s="36" t="str">
        <f>IF(SUM(C1180:D1180)=0," ",SUM(C1180:D1180))</f>
        <v xml:space="preserve"> </v>
      </c>
      <c r="F1180" s="14"/>
      <c r="G1180" s="120" t="e">
        <f>VLOOKUP($B1180,Information!$C$8:$F$15,4,FALSE)</f>
        <v>#N/A</v>
      </c>
      <c r="H1180" s="210" t="str">
        <f>TEXT(A1180,"ddd")</f>
        <v>Sat</v>
      </c>
    </row>
    <row r="1181" spans="1:8" x14ac:dyDescent="0.25">
      <c r="A1181" s="13"/>
      <c r="B1181" s="14"/>
      <c r="C1181" s="39"/>
      <c r="D1181" s="39"/>
      <c r="E1181" s="36" t="str">
        <f>IF(SUM(C1181:D1181)=0," ",SUM(C1181:D1181))</f>
        <v xml:space="preserve"> </v>
      </c>
      <c r="F1181" s="14"/>
      <c r="G1181" s="120" t="e">
        <f>VLOOKUP($B1181,Information!$C$8:$F$15,4,FALSE)</f>
        <v>#N/A</v>
      </c>
      <c r="H1181" s="210" t="str">
        <f>TEXT(A1181,"ddd")</f>
        <v>Sat</v>
      </c>
    </row>
    <row r="1182" spans="1:8" x14ac:dyDescent="0.25">
      <c r="A1182" s="13"/>
      <c r="B1182" s="14"/>
      <c r="C1182" s="39"/>
      <c r="D1182" s="39"/>
      <c r="E1182" s="36" t="str">
        <f>IF(SUM(C1182:D1182)=0," ",SUM(C1182:D1182))</f>
        <v xml:space="preserve"> </v>
      </c>
      <c r="F1182" s="14"/>
      <c r="G1182" s="120" t="e">
        <f>VLOOKUP($B1182,Information!$C$8:$F$15,4,FALSE)</f>
        <v>#N/A</v>
      </c>
      <c r="H1182" s="210" t="str">
        <f>TEXT(A1182,"ddd")</f>
        <v>Sat</v>
      </c>
    </row>
    <row r="1183" spans="1:8" x14ac:dyDescent="0.25">
      <c r="A1183" s="13"/>
      <c r="B1183" s="14"/>
      <c r="C1183" s="39"/>
      <c r="D1183" s="39"/>
      <c r="E1183" s="36" t="str">
        <f>IF(SUM(C1183:D1183)=0," ",SUM(C1183:D1183))</f>
        <v xml:space="preserve"> </v>
      </c>
      <c r="F1183" s="14"/>
      <c r="G1183" s="120" t="e">
        <f>VLOOKUP($B1183,Information!$C$8:$F$15,4,FALSE)</f>
        <v>#N/A</v>
      </c>
      <c r="H1183" s="210" t="str">
        <f>TEXT(A1183,"ddd")</f>
        <v>Sat</v>
      </c>
    </row>
    <row r="1184" spans="1:8" x14ac:dyDescent="0.25">
      <c r="A1184" s="13"/>
      <c r="B1184" s="14"/>
      <c r="C1184" s="39"/>
      <c r="D1184" s="39"/>
      <c r="E1184" s="36" t="str">
        <f>IF(SUM(C1184:D1184)=0," ",SUM(C1184:D1184))</f>
        <v xml:space="preserve"> </v>
      </c>
      <c r="F1184" s="14"/>
      <c r="G1184" s="120" t="e">
        <f>VLOOKUP($B1184,Information!$C$8:$F$15,4,FALSE)</f>
        <v>#N/A</v>
      </c>
      <c r="H1184" s="210" t="str">
        <f>TEXT(A1184,"ddd")</f>
        <v>Sat</v>
      </c>
    </row>
    <row r="1185" spans="1:8" x14ac:dyDescent="0.25">
      <c r="A1185" s="13"/>
      <c r="B1185" s="14"/>
      <c r="C1185" s="39"/>
      <c r="D1185" s="39"/>
      <c r="E1185" s="36" t="str">
        <f>IF(SUM(C1185:D1185)=0," ",SUM(C1185:D1185))</f>
        <v xml:space="preserve"> </v>
      </c>
      <c r="F1185" s="14"/>
      <c r="G1185" s="120" t="e">
        <f>VLOOKUP($B1185,Information!$C$8:$F$15,4,FALSE)</f>
        <v>#N/A</v>
      </c>
      <c r="H1185" s="210" t="str">
        <f>TEXT(A1185,"ddd")</f>
        <v>Sat</v>
      </c>
    </row>
    <row r="1186" spans="1:8" x14ac:dyDescent="0.25">
      <c r="A1186" s="13"/>
      <c r="B1186" s="14"/>
      <c r="C1186" s="39"/>
      <c r="D1186" s="39"/>
      <c r="E1186" s="36" t="str">
        <f>IF(SUM(C1186:D1186)=0," ",SUM(C1186:D1186))</f>
        <v xml:space="preserve"> </v>
      </c>
      <c r="F1186" s="14"/>
      <c r="G1186" s="120" t="e">
        <f>VLOOKUP($B1186,Information!$C$8:$F$15,4,FALSE)</f>
        <v>#N/A</v>
      </c>
      <c r="H1186" s="210" t="str">
        <f>TEXT(A1186,"ddd")</f>
        <v>Sat</v>
      </c>
    </row>
    <row r="1187" spans="1:8" x14ac:dyDescent="0.25">
      <c r="A1187" s="13"/>
      <c r="B1187" s="14"/>
      <c r="C1187" s="39"/>
      <c r="D1187" s="39"/>
      <c r="E1187" s="36" t="str">
        <f>IF(SUM(C1187:D1187)=0," ",SUM(C1187:D1187))</f>
        <v xml:space="preserve"> </v>
      </c>
      <c r="F1187" s="14"/>
      <c r="G1187" s="120" t="e">
        <f>VLOOKUP($B1187,Information!$C$8:$F$15,4,FALSE)</f>
        <v>#N/A</v>
      </c>
      <c r="H1187" s="210" t="str">
        <f>TEXT(A1187,"ddd")</f>
        <v>Sat</v>
      </c>
    </row>
    <row r="1188" spans="1:8" x14ac:dyDescent="0.25">
      <c r="A1188" s="13"/>
      <c r="B1188" s="14"/>
      <c r="C1188" s="39"/>
      <c r="D1188" s="39"/>
      <c r="E1188" s="36" t="str">
        <f>IF(SUM(C1188:D1188)=0," ",SUM(C1188:D1188))</f>
        <v xml:space="preserve"> </v>
      </c>
      <c r="F1188" s="14"/>
      <c r="G1188" s="120" t="e">
        <f>VLOOKUP($B1188,Information!$C$8:$F$15,4,FALSE)</f>
        <v>#N/A</v>
      </c>
      <c r="H1188" s="210" t="str">
        <f>TEXT(A1188,"ddd")</f>
        <v>Sat</v>
      </c>
    </row>
    <row r="1189" spans="1:8" x14ac:dyDescent="0.25">
      <c r="A1189" s="13"/>
      <c r="B1189" s="14"/>
      <c r="C1189" s="39"/>
      <c r="D1189" s="39"/>
      <c r="E1189" s="36" t="str">
        <f>IF(SUM(C1189:D1189)=0," ",SUM(C1189:D1189))</f>
        <v xml:space="preserve"> </v>
      </c>
      <c r="F1189" s="14"/>
      <c r="G1189" s="120" t="e">
        <f>VLOOKUP($B1189,Information!$C$8:$F$15,4,FALSE)</f>
        <v>#N/A</v>
      </c>
      <c r="H1189" s="210" t="str">
        <f>TEXT(A1189,"ddd")</f>
        <v>Sat</v>
      </c>
    </row>
    <row r="1190" spans="1:8" x14ac:dyDescent="0.25">
      <c r="A1190" s="13"/>
      <c r="B1190" s="14"/>
      <c r="C1190" s="39"/>
      <c r="D1190" s="39"/>
      <c r="E1190" s="36" t="str">
        <f>IF(SUM(C1190:D1190)=0," ",SUM(C1190:D1190))</f>
        <v xml:space="preserve"> </v>
      </c>
      <c r="F1190" s="14"/>
      <c r="G1190" s="120" t="e">
        <f>VLOOKUP($B1190,Information!$C$8:$F$15,4,FALSE)</f>
        <v>#N/A</v>
      </c>
      <c r="H1190" s="210" t="str">
        <f>TEXT(A1190,"ddd")</f>
        <v>Sat</v>
      </c>
    </row>
    <row r="1191" spans="1:8" x14ac:dyDescent="0.25">
      <c r="A1191" s="13"/>
      <c r="B1191" s="14"/>
      <c r="C1191" s="39"/>
      <c r="D1191" s="39"/>
      <c r="E1191" s="36" t="str">
        <f>IF(SUM(C1191:D1191)=0," ",SUM(C1191:D1191))</f>
        <v xml:space="preserve"> </v>
      </c>
      <c r="F1191" s="14"/>
      <c r="G1191" s="120" t="e">
        <f>VLOOKUP($B1191,Information!$C$8:$F$15,4,FALSE)</f>
        <v>#N/A</v>
      </c>
      <c r="H1191" s="210" t="str">
        <f>TEXT(A1191,"ddd")</f>
        <v>Sat</v>
      </c>
    </row>
    <row r="1192" spans="1:8" x14ac:dyDescent="0.25">
      <c r="A1192" s="13"/>
      <c r="B1192" s="14"/>
      <c r="C1192" s="39"/>
      <c r="D1192" s="39"/>
      <c r="E1192" s="36" t="str">
        <f>IF(SUM(C1192:D1192)=0," ",SUM(C1192:D1192))</f>
        <v xml:space="preserve"> </v>
      </c>
      <c r="F1192" s="14"/>
      <c r="G1192" s="120" t="e">
        <f>VLOOKUP($B1192,Information!$C$8:$F$15,4,FALSE)</f>
        <v>#N/A</v>
      </c>
      <c r="H1192" s="210" t="str">
        <f>TEXT(A1192,"ddd")</f>
        <v>Sat</v>
      </c>
    </row>
    <row r="1193" spans="1:8" x14ac:dyDescent="0.25">
      <c r="A1193" s="13"/>
      <c r="B1193" s="14"/>
      <c r="C1193" s="39"/>
      <c r="D1193" s="39"/>
      <c r="E1193" s="36" t="str">
        <f>IF(SUM(C1193:D1193)=0," ",SUM(C1193:D1193))</f>
        <v xml:space="preserve"> </v>
      </c>
      <c r="F1193" s="14"/>
      <c r="G1193" s="120" t="e">
        <f>VLOOKUP($B1193,Information!$C$8:$F$15,4,FALSE)</f>
        <v>#N/A</v>
      </c>
      <c r="H1193" s="210" t="str">
        <f>TEXT(A1193,"ddd")</f>
        <v>Sat</v>
      </c>
    </row>
    <row r="1194" spans="1:8" x14ac:dyDescent="0.25">
      <c r="A1194" s="13"/>
      <c r="B1194" s="14"/>
      <c r="C1194" s="39"/>
      <c r="D1194" s="39"/>
      <c r="E1194" s="36" t="str">
        <f>IF(SUM(C1194:D1194)=0," ",SUM(C1194:D1194))</f>
        <v xml:space="preserve"> </v>
      </c>
      <c r="F1194" s="14"/>
      <c r="G1194" s="120" t="e">
        <f>VLOOKUP($B1194,Information!$C$8:$F$15,4,FALSE)</f>
        <v>#N/A</v>
      </c>
      <c r="H1194" s="210" t="str">
        <f>TEXT(A1194,"ddd")</f>
        <v>Sat</v>
      </c>
    </row>
    <row r="1195" spans="1:8" x14ac:dyDescent="0.25">
      <c r="A1195" s="13"/>
      <c r="B1195" s="14"/>
      <c r="C1195" s="39"/>
      <c r="D1195" s="39"/>
      <c r="E1195" s="36" t="str">
        <f>IF(SUM(C1195:D1195)=0," ",SUM(C1195:D1195))</f>
        <v xml:space="preserve"> </v>
      </c>
      <c r="F1195" s="14"/>
      <c r="G1195" s="120" t="e">
        <f>VLOOKUP($B1195,Information!$C$8:$F$15,4,FALSE)</f>
        <v>#N/A</v>
      </c>
      <c r="H1195" s="210" t="str">
        <f>TEXT(A1195,"ddd")</f>
        <v>Sat</v>
      </c>
    </row>
    <row r="1196" spans="1:8" x14ac:dyDescent="0.25">
      <c r="A1196" s="13"/>
      <c r="B1196" s="14"/>
      <c r="C1196" s="39"/>
      <c r="D1196" s="39"/>
      <c r="E1196" s="36" t="str">
        <f>IF(SUM(C1196:D1196)=0," ",SUM(C1196:D1196))</f>
        <v xml:space="preserve"> </v>
      </c>
      <c r="F1196" s="14"/>
      <c r="G1196" s="120" t="e">
        <f>VLOOKUP($B1196,Information!$C$8:$F$15,4,FALSE)</f>
        <v>#N/A</v>
      </c>
      <c r="H1196" s="210" t="str">
        <f>TEXT(A1196,"ddd")</f>
        <v>Sat</v>
      </c>
    </row>
    <row r="1197" spans="1:8" x14ac:dyDescent="0.25">
      <c r="A1197" s="13"/>
      <c r="B1197" s="14"/>
      <c r="C1197" s="39"/>
      <c r="D1197" s="39"/>
      <c r="E1197" s="36" t="str">
        <f>IF(SUM(C1197:D1197)=0," ",SUM(C1197:D1197))</f>
        <v xml:space="preserve"> </v>
      </c>
      <c r="F1197" s="14"/>
      <c r="G1197" s="120" t="e">
        <f>VLOOKUP($B1197,Information!$C$8:$F$15,4,FALSE)</f>
        <v>#N/A</v>
      </c>
      <c r="H1197" s="210" t="str">
        <f>TEXT(A1197,"ddd")</f>
        <v>Sat</v>
      </c>
    </row>
    <row r="1198" spans="1:8" x14ac:dyDescent="0.25">
      <c r="A1198" s="13"/>
      <c r="B1198" s="14"/>
      <c r="C1198" s="39"/>
      <c r="D1198" s="39"/>
      <c r="E1198" s="36" t="str">
        <f>IF(SUM(C1198:D1198)=0," ",SUM(C1198:D1198))</f>
        <v xml:space="preserve"> </v>
      </c>
      <c r="F1198" s="14"/>
      <c r="G1198" s="120" t="e">
        <f>VLOOKUP($B1198,Information!$C$8:$F$15,4,FALSE)</f>
        <v>#N/A</v>
      </c>
      <c r="H1198" s="210" t="str">
        <f>TEXT(A1198,"ddd")</f>
        <v>Sat</v>
      </c>
    </row>
    <row r="1199" spans="1:8" x14ac:dyDescent="0.25">
      <c r="A1199" s="13"/>
      <c r="B1199" s="14"/>
      <c r="C1199" s="39"/>
      <c r="D1199" s="39"/>
      <c r="E1199" s="36" t="str">
        <f>IF(SUM(C1199:D1199)=0," ",SUM(C1199:D1199))</f>
        <v xml:space="preserve"> </v>
      </c>
      <c r="F1199" s="14"/>
      <c r="G1199" s="120" t="e">
        <f>VLOOKUP($B1199,Information!$C$8:$F$15,4,FALSE)</f>
        <v>#N/A</v>
      </c>
      <c r="H1199" s="210" t="str">
        <f>TEXT(A1199,"ddd")</f>
        <v>Sat</v>
      </c>
    </row>
    <row r="1200" spans="1:8" x14ac:dyDescent="0.25">
      <c r="A1200" s="13"/>
      <c r="B1200" s="14"/>
      <c r="C1200" s="39"/>
      <c r="D1200" s="39"/>
      <c r="E1200" s="36" t="str">
        <f>IF(SUM(C1200:D1200)=0," ",SUM(C1200:D1200))</f>
        <v xml:space="preserve"> </v>
      </c>
      <c r="F1200" s="14"/>
      <c r="G1200" s="120" t="e">
        <f>VLOOKUP($B1200,Information!$C$8:$F$15,4,FALSE)</f>
        <v>#N/A</v>
      </c>
      <c r="H1200" s="210" t="str">
        <f>TEXT(A1200,"ddd")</f>
        <v>Sat</v>
      </c>
    </row>
    <row r="1201" spans="1:8" x14ac:dyDescent="0.25">
      <c r="A1201" s="13"/>
      <c r="B1201" s="14"/>
      <c r="C1201" s="39"/>
      <c r="D1201" s="39"/>
      <c r="E1201" s="36" t="str">
        <f>IF(SUM(C1201:D1201)=0," ",SUM(C1201:D1201))</f>
        <v xml:space="preserve"> </v>
      </c>
      <c r="F1201" s="14"/>
      <c r="G1201" s="120" t="e">
        <f>VLOOKUP($B1201,Information!$C$8:$F$15,4,FALSE)</f>
        <v>#N/A</v>
      </c>
      <c r="H1201" s="210" t="str">
        <f>TEXT(A1201,"ddd")</f>
        <v>Sat</v>
      </c>
    </row>
    <row r="1202" spans="1:8" x14ac:dyDescent="0.25">
      <c r="A1202" s="13"/>
      <c r="B1202" s="14"/>
      <c r="C1202" s="39"/>
      <c r="D1202" s="39"/>
      <c r="E1202" s="36" t="str">
        <f>IF(SUM(C1202:D1202)=0," ",SUM(C1202:D1202))</f>
        <v xml:space="preserve"> </v>
      </c>
      <c r="F1202" s="14"/>
      <c r="G1202" s="120" t="e">
        <f>VLOOKUP($B1202,Information!$C$8:$F$15,4,FALSE)</f>
        <v>#N/A</v>
      </c>
      <c r="H1202" s="210" t="str">
        <f>TEXT(A1202,"ddd")</f>
        <v>Sat</v>
      </c>
    </row>
    <row r="1203" spans="1:8" x14ac:dyDescent="0.25">
      <c r="A1203" s="13"/>
      <c r="B1203" s="14"/>
      <c r="C1203" s="39"/>
      <c r="D1203" s="39"/>
      <c r="E1203" s="36" t="str">
        <f>IF(SUM(C1203:D1203)=0," ",SUM(C1203:D1203))</f>
        <v xml:space="preserve"> </v>
      </c>
      <c r="F1203" s="14"/>
      <c r="G1203" s="120" t="e">
        <f>VLOOKUP($B1203,Information!$C$8:$F$15,4,FALSE)</f>
        <v>#N/A</v>
      </c>
      <c r="H1203" s="210" t="str">
        <f>TEXT(A1203,"ddd")</f>
        <v>Sat</v>
      </c>
    </row>
    <row r="1204" spans="1:8" x14ac:dyDescent="0.25">
      <c r="A1204" s="13"/>
      <c r="B1204" s="14"/>
      <c r="C1204" s="39"/>
      <c r="D1204" s="39"/>
      <c r="E1204" s="36" t="str">
        <f>IF(SUM(C1204:D1204)=0," ",SUM(C1204:D1204))</f>
        <v xml:space="preserve"> </v>
      </c>
      <c r="F1204" s="14"/>
      <c r="G1204" s="120" t="e">
        <f>VLOOKUP($B1204,Information!$C$8:$F$15,4,FALSE)</f>
        <v>#N/A</v>
      </c>
      <c r="H1204" s="210" t="str">
        <f>TEXT(A1204,"ddd")</f>
        <v>Sat</v>
      </c>
    </row>
    <row r="1205" spans="1:8" x14ac:dyDescent="0.25">
      <c r="A1205" s="13"/>
      <c r="B1205" s="14"/>
      <c r="C1205" s="39"/>
      <c r="D1205" s="39"/>
      <c r="E1205" s="36" t="str">
        <f>IF(SUM(C1205:D1205)=0," ",SUM(C1205:D1205))</f>
        <v xml:space="preserve"> </v>
      </c>
      <c r="F1205" s="14"/>
      <c r="G1205" s="120" t="e">
        <f>VLOOKUP($B1205,Information!$C$8:$F$15,4,FALSE)</f>
        <v>#N/A</v>
      </c>
      <c r="H1205" s="210" t="str">
        <f>TEXT(A1205,"ddd")</f>
        <v>Sat</v>
      </c>
    </row>
    <row r="1206" spans="1:8" x14ac:dyDescent="0.25">
      <c r="A1206" s="13"/>
      <c r="B1206" s="14"/>
      <c r="C1206" s="39"/>
      <c r="D1206" s="39"/>
      <c r="E1206" s="36" t="str">
        <f>IF(SUM(C1206:D1206)=0," ",SUM(C1206:D1206))</f>
        <v xml:space="preserve"> </v>
      </c>
      <c r="F1206" s="14"/>
      <c r="G1206" s="120" t="e">
        <f>VLOOKUP($B1206,Information!$C$8:$F$15,4,FALSE)</f>
        <v>#N/A</v>
      </c>
      <c r="H1206" s="210" t="str">
        <f>TEXT(A1206,"ddd")</f>
        <v>Sat</v>
      </c>
    </row>
    <row r="1207" spans="1:8" x14ac:dyDescent="0.25">
      <c r="A1207" s="13"/>
      <c r="B1207" s="14"/>
      <c r="C1207" s="39"/>
      <c r="D1207" s="39"/>
      <c r="E1207" s="36" t="str">
        <f>IF(SUM(C1207:D1207)=0," ",SUM(C1207:D1207))</f>
        <v xml:space="preserve"> </v>
      </c>
      <c r="F1207" s="14"/>
      <c r="G1207" s="120" t="e">
        <f>VLOOKUP($B1207,Information!$C$8:$F$15,4,FALSE)</f>
        <v>#N/A</v>
      </c>
      <c r="H1207" s="210" t="str">
        <f>TEXT(A1207,"ddd")</f>
        <v>Sat</v>
      </c>
    </row>
    <row r="1208" spans="1:8" x14ac:dyDescent="0.25">
      <c r="A1208" s="13"/>
      <c r="B1208" s="14"/>
      <c r="C1208" s="39"/>
      <c r="D1208" s="39"/>
      <c r="E1208" s="36" t="str">
        <f>IF(SUM(C1208:D1208)=0," ",SUM(C1208:D1208))</f>
        <v xml:space="preserve"> </v>
      </c>
      <c r="F1208" s="14"/>
      <c r="G1208" s="120" t="e">
        <f>VLOOKUP($B1208,Information!$C$8:$F$15,4,FALSE)</f>
        <v>#N/A</v>
      </c>
      <c r="H1208" s="210" t="str">
        <f>TEXT(A1208,"ddd")</f>
        <v>Sat</v>
      </c>
    </row>
    <row r="1209" spans="1:8" x14ac:dyDescent="0.25">
      <c r="A1209" s="13"/>
      <c r="B1209" s="14"/>
      <c r="C1209" s="39"/>
      <c r="D1209" s="39"/>
      <c r="E1209" s="36" t="str">
        <f>IF(SUM(C1209:D1209)=0," ",SUM(C1209:D1209))</f>
        <v xml:space="preserve"> </v>
      </c>
      <c r="F1209" s="14"/>
      <c r="G1209" s="120" t="e">
        <f>VLOOKUP($B1209,Information!$C$8:$F$15,4,FALSE)</f>
        <v>#N/A</v>
      </c>
      <c r="H1209" s="210" t="str">
        <f>TEXT(A1209,"ddd")</f>
        <v>Sat</v>
      </c>
    </row>
    <row r="1210" spans="1:8" x14ac:dyDescent="0.25">
      <c r="A1210" s="13"/>
      <c r="B1210" s="14"/>
      <c r="C1210" s="39"/>
      <c r="D1210" s="39"/>
      <c r="E1210" s="36" t="str">
        <f>IF(SUM(C1210:D1210)=0," ",SUM(C1210:D1210))</f>
        <v xml:space="preserve"> </v>
      </c>
      <c r="F1210" s="14"/>
      <c r="G1210" s="120" t="e">
        <f>VLOOKUP($B1210,Information!$C$8:$F$15,4,FALSE)</f>
        <v>#N/A</v>
      </c>
      <c r="H1210" s="210" t="str">
        <f>TEXT(A1210,"ddd")</f>
        <v>Sat</v>
      </c>
    </row>
    <row r="1211" spans="1:8" x14ac:dyDescent="0.25">
      <c r="A1211" s="13"/>
      <c r="B1211" s="14"/>
      <c r="C1211" s="39"/>
      <c r="D1211" s="39"/>
      <c r="E1211" s="36" t="str">
        <f>IF(SUM(C1211:D1211)=0," ",SUM(C1211:D1211))</f>
        <v xml:space="preserve"> </v>
      </c>
      <c r="F1211" s="14"/>
      <c r="G1211" s="120" t="e">
        <f>VLOOKUP($B1211,Information!$C$8:$F$15,4,FALSE)</f>
        <v>#N/A</v>
      </c>
      <c r="H1211" s="210" t="str">
        <f>TEXT(A1211,"ddd")</f>
        <v>Sat</v>
      </c>
    </row>
    <row r="1212" spans="1:8" x14ac:dyDescent="0.25">
      <c r="A1212" s="13"/>
      <c r="B1212" s="14"/>
      <c r="C1212" s="39"/>
      <c r="D1212" s="39"/>
      <c r="E1212" s="36" t="str">
        <f>IF(SUM(C1212:D1212)=0," ",SUM(C1212:D1212))</f>
        <v xml:space="preserve"> </v>
      </c>
      <c r="F1212" s="14"/>
      <c r="G1212" s="120" t="e">
        <f>VLOOKUP($B1212,Information!$C$8:$F$15,4,FALSE)</f>
        <v>#N/A</v>
      </c>
      <c r="H1212" s="210" t="str">
        <f>TEXT(A1212,"ddd")</f>
        <v>Sat</v>
      </c>
    </row>
    <row r="1213" spans="1:8" x14ac:dyDescent="0.25">
      <c r="A1213" s="13"/>
      <c r="B1213" s="14"/>
      <c r="C1213" s="39"/>
      <c r="D1213" s="39"/>
      <c r="E1213" s="36" t="str">
        <f>IF(SUM(C1213:D1213)=0," ",SUM(C1213:D1213))</f>
        <v xml:space="preserve"> </v>
      </c>
      <c r="F1213" s="14"/>
      <c r="G1213" s="120" t="e">
        <f>VLOOKUP($B1213,Information!$C$8:$F$15,4,FALSE)</f>
        <v>#N/A</v>
      </c>
      <c r="H1213" s="210" t="str">
        <f>TEXT(A1213,"ddd")</f>
        <v>Sat</v>
      </c>
    </row>
    <row r="1214" spans="1:8" x14ac:dyDescent="0.25">
      <c r="A1214" s="13"/>
      <c r="B1214" s="14"/>
      <c r="C1214" s="39"/>
      <c r="D1214" s="39"/>
      <c r="E1214" s="36" t="str">
        <f>IF(SUM(C1214:D1214)=0," ",SUM(C1214:D1214))</f>
        <v xml:space="preserve"> </v>
      </c>
      <c r="F1214" s="14"/>
      <c r="G1214" s="120" t="e">
        <f>VLOOKUP($B1214,Information!$C$8:$F$15,4,FALSE)</f>
        <v>#N/A</v>
      </c>
      <c r="H1214" s="210" t="str">
        <f>TEXT(A1214,"ddd")</f>
        <v>Sat</v>
      </c>
    </row>
    <row r="1215" spans="1:8" x14ac:dyDescent="0.25">
      <c r="A1215" s="13"/>
      <c r="B1215" s="14"/>
      <c r="C1215" s="39"/>
      <c r="D1215" s="39"/>
      <c r="E1215" s="36" t="str">
        <f>IF(SUM(C1215:D1215)=0," ",SUM(C1215:D1215))</f>
        <v xml:space="preserve"> </v>
      </c>
      <c r="F1215" s="14"/>
      <c r="G1215" s="120" t="e">
        <f>VLOOKUP($B1215,Information!$C$8:$F$15,4,FALSE)</f>
        <v>#N/A</v>
      </c>
      <c r="H1215" s="210" t="str">
        <f>TEXT(A1215,"ddd")</f>
        <v>Sat</v>
      </c>
    </row>
    <row r="1216" spans="1:8" x14ac:dyDescent="0.25">
      <c r="A1216" s="13"/>
      <c r="B1216" s="14"/>
      <c r="C1216" s="39"/>
      <c r="D1216" s="39"/>
      <c r="E1216" s="36" t="str">
        <f>IF(SUM(C1216:D1216)=0," ",SUM(C1216:D1216))</f>
        <v xml:space="preserve"> </v>
      </c>
      <c r="F1216" s="14"/>
      <c r="G1216" s="120" t="e">
        <f>VLOOKUP($B1216,Information!$C$8:$F$15,4,FALSE)</f>
        <v>#N/A</v>
      </c>
      <c r="H1216" s="210" t="str">
        <f>TEXT(A1216,"ddd")</f>
        <v>Sat</v>
      </c>
    </row>
    <row r="1217" spans="1:8" x14ac:dyDescent="0.25">
      <c r="A1217" s="13"/>
      <c r="B1217" s="14"/>
      <c r="C1217" s="39"/>
      <c r="D1217" s="39"/>
      <c r="E1217" s="36" t="str">
        <f>IF(SUM(C1217:D1217)=0," ",SUM(C1217:D1217))</f>
        <v xml:space="preserve"> </v>
      </c>
      <c r="F1217" s="14"/>
      <c r="G1217" s="120" t="e">
        <f>VLOOKUP($B1217,Information!$C$8:$F$15,4,FALSE)</f>
        <v>#N/A</v>
      </c>
      <c r="H1217" s="210" t="str">
        <f>TEXT(A1217,"ddd")</f>
        <v>Sat</v>
      </c>
    </row>
    <row r="1218" spans="1:8" x14ac:dyDescent="0.25">
      <c r="A1218" s="13"/>
      <c r="B1218" s="14"/>
      <c r="C1218" s="39"/>
      <c r="D1218" s="39"/>
      <c r="E1218" s="36" t="str">
        <f>IF(SUM(C1218:D1218)=0," ",SUM(C1218:D1218))</f>
        <v xml:space="preserve"> </v>
      </c>
      <c r="F1218" s="14"/>
      <c r="G1218" s="120" t="e">
        <f>VLOOKUP($B1218,Information!$C$8:$F$15,4,FALSE)</f>
        <v>#N/A</v>
      </c>
      <c r="H1218" s="210" t="str">
        <f>TEXT(A1218,"ddd")</f>
        <v>Sat</v>
      </c>
    </row>
    <row r="1219" spans="1:8" x14ac:dyDescent="0.25">
      <c r="A1219" s="13"/>
      <c r="B1219" s="14"/>
      <c r="C1219" s="39"/>
      <c r="D1219" s="39"/>
      <c r="E1219" s="36" t="str">
        <f>IF(SUM(C1219:D1219)=0," ",SUM(C1219:D1219))</f>
        <v xml:space="preserve"> </v>
      </c>
      <c r="F1219" s="14"/>
      <c r="G1219" s="120" t="e">
        <f>VLOOKUP($B1219,Information!$C$8:$F$15,4,FALSE)</f>
        <v>#N/A</v>
      </c>
      <c r="H1219" s="210" t="str">
        <f>TEXT(A1219,"ddd")</f>
        <v>Sat</v>
      </c>
    </row>
    <row r="1220" spans="1:8" x14ac:dyDescent="0.25">
      <c r="A1220" s="13"/>
      <c r="B1220" s="14"/>
      <c r="C1220" s="39"/>
      <c r="D1220" s="39"/>
      <c r="E1220" s="36" t="str">
        <f>IF(SUM(C1220:D1220)=0," ",SUM(C1220:D1220))</f>
        <v xml:space="preserve"> </v>
      </c>
      <c r="F1220" s="14"/>
      <c r="G1220" s="120" t="e">
        <f>VLOOKUP($B1220,Information!$C$8:$F$15,4,FALSE)</f>
        <v>#N/A</v>
      </c>
      <c r="H1220" s="210" t="str">
        <f>TEXT(A1220,"ddd")</f>
        <v>Sat</v>
      </c>
    </row>
    <row r="1221" spans="1:8" x14ac:dyDescent="0.25">
      <c r="A1221" s="13"/>
      <c r="B1221" s="14"/>
      <c r="C1221" s="39"/>
      <c r="D1221" s="39"/>
      <c r="E1221" s="36" t="str">
        <f>IF(SUM(C1221:D1221)=0," ",SUM(C1221:D1221))</f>
        <v xml:space="preserve"> </v>
      </c>
      <c r="F1221" s="14"/>
      <c r="G1221" s="120" t="e">
        <f>VLOOKUP($B1221,Information!$C$8:$F$15,4,FALSE)</f>
        <v>#N/A</v>
      </c>
      <c r="H1221" s="210" t="str">
        <f>TEXT(A1221,"ddd")</f>
        <v>Sat</v>
      </c>
    </row>
    <row r="1222" spans="1:8" x14ac:dyDescent="0.25">
      <c r="A1222" s="13"/>
      <c r="B1222" s="14"/>
      <c r="C1222" s="39"/>
      <c r="D1222" s="39"/>
      <c r="E1222" s="36" t="str">
        <f>IF(SUM(C1222:D1222)=0," ",SUM(C1222:D1222))</f>
        <v xml:space="preserve"> </v>
      </c>
      <c r="F1222" s="14"/>
      <c r="G1222" s="120" t="e">
        <f>VLOOKUP($B1222,Information!$C$8:$F$15,4,FALSE)</f>
        <v>#N/A</v>
      </c>
      <c r="H1222" s="210" t="str">
        <f>TEXT(A1222,"ddd")</f>
        <v>Sat</v>
      </c>
    </row>
    <row r="1223" spans="1:8" x14ac:dyDescent="0.25">
      <c r="A1223" s="13"/>
      <c r="B1223" s="14"/>
      <c r="C1223" s="39"/>
      <c r="D1223" s="39"/>
      <c r="E1223" s="36" t="str">
        <f>IF(SUM(C1223:D1223)=0," ",SUM(C1223:D1223))</f>
        <v xml:space="preserve"> </v>
      </c>
      <c r="F1223" s="14"/>
      <c r="G1223" s="120" t="e">
        <f>VLOOKUP($B1223,Information!$C$8:$F$15,4,FALSE)</f>
        <v>#N/A</v>
      </c>
      <c r="H1223" s="210" t="str">
        <f>TEXT(A1223,"ddd")</f>
        <v>Sat</v>
      </c>
    </row>
    <row r="1224" spans="1:8" x14ac:dyDescent="0.25">
      <c r="A1224" s="13"/>
      <c r="B1224" s="14"/>
      <c r="C1224" s="39"/>
      <c r="D1224" s="39"/>
      <c r="E1224" s="36" t="str">
        <f>IF(SUM(C1224:D1224)=0," ",SUM(C1224:D1224))</f>
        <v xml:space="preserve"> </v>
      </c>
      <c r="F1224" s="14"/>
      <c r="G1224" s="120" t="e">
        <f>VLOOKUP($B1224,Information!$C$8:$F$15,4,FALSE)</f>
        <v>#N/A</v>
      </c>
      <c r="H1224" s="210" t="str">
        <f>TEXT(A1224,"ddd")</f>
        <v>Sat</v>
      </c>
    </row>
    <row r="1225" spans="1:8" x14ac:dyDescent="0.25">
      <c r="A1225" s="13"/>
      <c r="B1225" s="14"/>
      <c r="C1225" s="39"/>
      <c r="D1225" s="39"/>
      <c r="E1225" s="36" t="str">
        <f>IF(SUM(C1225:D1225)=0," ",SUM(C1225:D1225))</f>
        <v xml:space="preserve"> </v>
      </c>
      <c r="F1225" s="14"/>
      <c r="G1225" s="120" t="e">
        <f>VLOOKUP($B1225,Information!$C$8:$F$15,4,FALSE)</f>
        <v>#N/A</v>
      </c>
      <c r="H1225" s="210" t="str">
        <f>TEXT(A1225,"ddd")</f>
        <v>Sat</v>
      </c>
    </row>
    <row r="1226" spans="1:8" x14ac:dyDescent="0.25">
      <c r="A1226" s="13"/>
      <c r="B1226" s="14"/>
      <c r="C1226" s="39"/>
      <c r="D1226" s="39"/>
      <c r="E1226" s="36" t="str">
        <f>IF(SUM(C1226:D1226)=0," ",SUM(C1226:D1226))</f>
        <v xml:space="preserve"> </v>
      </c>
      <c r="F1226" s="14"/>
      <c r="G1226" s="120" t="e">
        <f>VLOOKUP($B1226,Information!$C$8:$F$15,4,FALSE)</f>
        <v>#N/A</v>
      </c>
      <c r="H1226" s="210" t="str">
        <f>TEXT(A1226,"ddd")</f>
        <v>Sat</v>
      </c>
    </row>
    <row r="1227" spans="1:8" x14ac:dyDescent="0.25">
      <c r="A1227" s="13"/>
      <c r="B1227" s="14"/>
      <c r="C1227" s="39"/>
      <c r="D1227" s="39"/>
      <c r="E1227" s="36" t="str">
        <f>IF(SUM(C1227:D1227)=0," ",SUM(C1227:D1227))</f>
        <v xml:space="preserve"> </v>
      </c>
      <c r="F1227" s="14"/>
      <c r="G1227" s="120" t="e">
        <f>VLOOKUP($B1227,Information!$C$8:$F$15,4,FALSE)</f>
        <v>#N/A</v>
      </c>
      <c r="H1227" s="210" t="str">
        <f>TEXT(A1227,"ddd")</f>
        <v>Sat</v>
      </c>
    </row>
    <row r="1228" spans="1:8" x14ac:dyDescent="0.25">
      <c r="A1228" s="13"/>
      <c r="B1228" s="14"/>
      <c r="C1228" s="39"/>
      <c r="D1228" s="39"/>
      <c r="E1228" s="36" t="str">
        <f>IF(SUM(C1228:D1228)=0," ",SUM(C1228:D1228))</f>
        <v xml:space="preserve"> </v>
      </c>
      <c r="F1228" s="14"/>
      <c r="G1228" s="120" t="e">
        <f>VLOOKUP($B1228,Information!$C$8:$F$15,4,FALSE)</f>
        <v>#N/A</v>
      </c>
      <c r="H1228" s="210" t="str">
        <f>TEXT(A1228,"ddd")</f>
        <v>Sat</v>
      </c>
    </row>
    <row r="1229" spans="1:8" x14ac:dyDescent="0.25">
      <c r="A1229" s="13"/>
      <c r="B1229" s="14"/>
      <c r="C1229" s="39"/>
      <c r="D1229" s="39"/>
      <c r="E1229" s="36" t="str">
        <f>IF(SUM(C1229:D1229)=0," ",SUM(C1229:D1229))</f>
        <v xml:space="preserve"> </v>
      </c>
      <c r="F1229" s="14"/>
      <c r="G1229" s="120" t="e">
        <f>VLOOKUP($B1229,Information!$C$8:$F$15,4,FALSE)</f>
        <v>#N/A</v>
      </c>
      <c r="H1229" s="210" t="str">
        <f>TEXT(A1229,"ddd")</f>
        <v>Sat</v>
      </c>
    </row>
    <row r="1230" spans="1:8" x14ac:dyDescent="0.25">
      <c r="A1230" s="13"/>
      <c r="B1230" s="14"/>
      <c r="C1230" s="39"/>
      <c r="D1230" s="39"/>
      <c r="E1230" s="36" t="str">
        <f>IF(SUM(C1230:D1230)=0," ",SUM(C1230:D1230))</f>
        <v xml:space="preserve"> </v>
      </c>
      <c r="F1230" s="14"/>
      <c r="G1230" s="120" t="e">
        <f>VLOOKUP($B1230,Information!$C$8:$F$15,4,FALSE)</f>
        <v>#N/A</v>
      </c>
      <c r="H1230" s="210" t="str">
        <f>TEXT(A1230,"ddd")</f>
        <v>Sat</v>
      </c>
    </row>
    <row r="1231" spans="1:8" x14ac:dyDescent="0.25">
      <c r="A1231" s="13"/>
      <c r="B1231" s="14"/>
      <c r="C1231" s="39"/>
      <c r="D1231" s="39"/>
      <c r="E1231" s="36" t="str">
        <f>IF(SUM(C1231:D1231)=0," ",SUM(C1231:D1231))</f>
        <v xml:space="preserve"> </v>
      </c>
      <c r="F1231" s="14"/>
      <c r="G1231" s="120" t="e">
        <f>VLOOKUP($B1231,Information!$C$8:$F$15,4,FALSE)</f>
        <v>#N/A</v>
      </c>
      <c r="H1231" s="210" t="str">
        <f>TEXT(A1231,"ddd")</f>
        <v>Sat</v>
      </c>
    </row>
    <row r="1232" spans="1:8" x14ac:dyDescent="0.25">
      <c r="A1232" s="13"/>
      <c r="B1232" s="14"/>
      <c r="C1232" s="39"/>
      <c r="D1232" s="39"/>
      <c r="E1232" s="36" t="str">
        <f>IF(SUM(C1232:D1232)=0," ",SUM(C1232:D1232))</f>
        <v xml:space="preserve"> </v>
      </c>
      <c r="F1232" s="14"/>
      <c r="G1232" s="120" t="e">
        <f>VLOOKUP($B1232,Information!$C$8:$F$15,4,FALSE)</f>
        <v>#N/A</v>
      </c>
      <c r="H1232" s="210" t="str">
        <f>TEXT(A1232,"ddd")</f>
        <v>Sat</v>
      </c>
    </row>
    <row r="1233" spans="1:8" x14ac:dyDescent="0.25">
      <c r="A1233" s="13"/>
      <c r="B1233" s="14"/>
      <c r="C1233" s="39"/>
      <c r="D1233" s="39"/>
      <c r="E1233" s="36" t="str">
        <f>IF(SUM(C1233:D1233)=0," ",SUM(C1233:D1233))</f>
        <v xml:space="preserve"> </v>
      </c>
      <c r="F1233" s="14"/>
      <c r="G1233" s="120" t="e">
        <f>VLOOKUP($B1233,Information!$C$8:$F$15,4,FALSE)</f>
        <v>#N/A</v>
      </c>
      <c r="H1233" s="210" t="str">
        <f>TEXT(A1233,"ddd")</f>
        <v>Sat</v>
      </c>
    </row>
    <row r="1234" spans="1:8" x14ac:dyDescent="0.25">
      <c r="A1234" s="13"/>
      <c r="B1234" s="14"/>
      <c r="C1234" s="39"/>
      <c r="D1234" s="39"/>
      <c r="E1234" s="36" t="str">
        <f>IF(SUM(C1234:D1234)=0," ",SUM(C1234:D1234))</f>
        <v xml:space="preserve"> </v>
      </c>
      <c r="F1234" s="14"/>
      <c r="G1234" s="120" t="e">
        <f>VLOOKUP($B1234,Information!$C$8:$F$15,4,FALSE)</f>
        <v>#N/A</v>
      </c>
      <c r="H1234" s="210" t="str">
        <f>TEXT(A1234,"ddd")</f>
        <v>Sat</v>
      </c>
    </row>
    <row r="1235" spans="1:8" x14ac:dyDescent="0.25">
      <c r="A1235" s="13"/>
      <c r="B1235" s="14"/>
      <c r="C1235" s="39"/>
      <c r="D1235" s="39"/>
      <c r="E1235" s="36" t="str">
        <f>IF(SUM(C1235:D1235)=0," ",SUM(C1235:D1235))</f>
        <v xml:space="preserve"> </v>
      </c>
      <c r="F1235" s="14"/>
      <c r="G1235" s="120" t="e">
        <f>VLOOKUP($B1235,Information!$C$8:$F$15,4,FALSE)</f>
        <v>#N/A</v>
      </c>
      <c r="H1235" s="210" t="str">
        <f>TEXT(A1235,"ddd")</f>
        <v>Sat</v>
      </c>
    </row>
    <row r="1236" spans="1:8" x14ac:dyDescent="0.25">
      <c r="A1236" s="13"/>
      <c r="B1236" s="14"/>
      <c r="C1236" s="39"/>
      <c r="D1236" s="39"/>
      <c r="E1236" s="36" t="str">
        <f>IF(SUM(C1236:D1236)=0," ",SUM(C1236:D1236))</f>
        <v xml:space="preserve"> </v>
      </c>
      <c r="F1236" s="14"/>
      <c r="G1236" s="120" t="e">
        <f>VLOOKUP($B1236,Information!$C$8:$F$15,4,FALSE)</f>
        <v>#N/A</v>
      </c>
      <c r="H1236" s="210" t="str">
        <f>TEXT(A1236,"ddd")</f>
        <v>Sat</v>
      </c>
    </row>
    <row r="1237" spans="1:8" x14ac:dyDescent="0.25">
      <c r="A1237" s="13"/>
      <c r="B1237" s="14"/>
      <c r="C1237" s="39"/>
      <c r="D1237" s="39"/>
      <c r="E1237" s="36" t="str">
        <f>IF(SUM(C1237:D1237)=0," ",SUM(C1237:D1237))</f>
        <v xml:space="preserve"> </v>
      </c>
      <c r="F1237" s="14"/>
      <c r="G1237" s="120" t="e">
        <f>VLOOKUP($B1237,Information!$C$8:$F$15,4,FALSE)</f>
        <v>#N/A</v>
      </c>
      <c r="H1237" s="210" t="str">
        <f>TEXT(A1237,"ddd")</f>
        <v>Sat</v>
      </c>
    </row>
    <row r="1238" spans="1:8" x14ac:dyDescent="0.25">
      <c r="A1238" s="13"/>
      <c r="B1238" s="14"/>
      <c r="C1238" s="39"/>
      <c r="D1238" s="39"/>
      <c r="E1238" s="36" t="str">
        <f>IF(SUM(C1238:D1238)=0," ",SUM(C1238:D1238))</f>
        <v xml:space="preserve"> </v>
      </c>
      <c r="F1238" s="14"/>
      <c r="G1238" s="120" t="e">
        <f>VLOOKUP($B1238,Information!$C$8:$F$15,4,FALSE)</f>
        <v>#N/A</v>
      </c>
      <c r="H1238" s="210" t="str">
        <f>TEXT(A1238,"ddd")</f>
        <v>Sat</v>
      </c>
    </row>
    <row r="1239" spans="1:8" x14ac:dyDescent="0.25">
      <c r="A1239" s="13"/>
      <c r="B1239" s="14"/>
      <c r="C1239" s="39"/>
      <c r="D1239" s="39"/>
      <c r="E1239" s="36" t="str">
        <f>IF(SUM(C1239:D1239)=0," ",SUM(C1239:D1239))</f>
        <v xml:space="preserve"> </v>
      </c>
      <c r="F1239" s="14"/>
      <c r="G1239" s="120" t="e">
        <f>VLOOKUP($B1239,Information!$C$8:$F$15,4,FALSE)</f>
        <v>#N/A</v>
      </c>
      <c r="H1239" s="210" t="str">
        <f>TEXT(A1239,"ddd")</f>
        <v>Sat</v>
      </c>
    </row>
    <row r="1240" spans="1:8" x14ac:dyDescent="0.25">
      <c r="A1240" s="13"/>
      <c r="B1240" s="14"/>
      <c r="C1240" s="39"/>
      <c r="D1240" s="39"/>
      <c r="E1240" s="36" t="str">
        <f>IF(SUM(C1240:D1240)=0," ",SUM(C1240:D1240))</f>
        <v xml:space="preserve"> </v>
      </c>
      <c r="F1240" s="14"/>
      <c r="G1240" s="120" t="e">
        <f>VLOOKUP($B1240,Information!$C$8:$F$15,4,FALSE)</f>
        <v>#N/A</v>
      </c>
      <c r="H1240" s="210" t="str">
        <f>TEXT(A1240,"ddd")</f>
        <v>Sat</v>
      </c>
    </row>
    <row r="1241" spans="1:8" x14ac:dyDescent="0.25">
      <c r="A1241" s="13"/>
      <c r="B1241" s="14"/>
      <c r="C1241" s="39"/>
      <c r="D1241" s="39"/>
      <c r="E1241" s="36" t="str">
        <f>IF(SUM(C1241:D1241)=0," ",SUM(C1241:D1241))</f>
        <v xml:space="preserve"> </v>
      </c>
      <c r="F1241" s="14"/>
      <c r="G1241" s="120" t="e">
        <f>VLOOKUP($B1241,Information!$C$8:$F$15,4,FALSE)</f>
        <v>#N/A</v>
      </c>
      <c r="H1241" s="210" t="str">
        <f>TEXT(A1241,"ddd")</f>
        <v>Sat</v>
      </c>
    </row>
    <row r="1242" spans="1:8" x14ac:dyDescent="0.25">
      <c r="A1242" s="13"/>
      <c r="B1242" s="14"/>
      <c r="C1242" s="39"/>
      <c r="D1242" s="39"/>
      <c r="E1242" s="36" t="str">
        <f>IF(SUM(C1242:D1242)=0," ",SUM(C1242:D1242))</f>
        <v xml:space="preserve"> </v>
      </c>
      <c r="F1242" s="14"/>
      <c r="G1242" s="120" t="e">
        <f>VLOOKUP($B1242,Information!$C$8:$F$15,4,FALSE)</f>
        <v>#N/A</v>
      </c>
      <c r="H1242" s="210" t="str">
        <f>TEXT(A1242,"ddd")</f>
        <v>Sat</v>
      </c>
    </row>
    <row r="1243" spans="1:8" x14ac:dyDescent="0.25">
      <c r="A1243" s="13"/>
      <c r="B1243" s="14"/>
      <c r="C1243" s="39"/>
      <c r="D1243" s="39"/>
      <c r="E1243" s="36" t="str">
        <f>IF(SUM(C1243:D1243)=0," ",SUM(C1243:D1243))</f>
        <v xml:space="preserve"> </v>
      </c>
      <c r="F1243" s="14"/>
      <c r="G1243" s="120" t="e">
        <f>VLOOKUP($B1243,Information!$C$8:$F$15,4,FALSE)</f>
        <v>#N/A</v>
      </c>
      <c r="H1243" s="210" t="str">
        <f>TEXT(A1243,"ddd")</f>
        <v>Sat</v>
      </c>
    </row>
    <row r="1244" spans="1:8" x14ac:dyDescent="0.25">
      <c r="A1244" s="13"/>
      <c r="B1244" s="14"/>
      <c r="C1244" s="39"/>
      <c r="D1244" s="39"/>
      <c r="E1244" s="36" t="str">
        <f>IF(SUM(C1244:D1244)=0," ",SUM(C1244:D1244))</f>
        <v xml:space="preserve"> </v>
      </c>
      <c r="F1244" s="14"/>
      <c r="G1244" s="120" t="e">
        <f>VLOOKUP($B1244,Information!$C$8:$F$15,4,FALSE)</f>
        <v>#N/A</v>
      </c>
      <c r="H1244" s="210" t="str">
        <f>TEXT(A1244,"ddd")</f>
        <v>Sat</v>
      </c>
    </row>
    <row r="1245" spans="1:8" x14ac:dyDescent="0.25">
      <c r="A1245" s="13"/>
      <c r="B1245" s="14"/>
      <c r="C1245" s="39"/>
      <c r="D1245" s="39"/>
      <c r="E1245" s="36" t="str">
        <f>IF(SUM(C1245:D1245)=0," ",SUM(C1245:D1245))</f>
        <v xml:space="preserve"> </v>
      </c>
      <c r="F1245" s="14"/>
      <c r="G1245" s="120" t="e">
        <f>VLOOKUP($B1245,Information!$C$8:$F$15,4,FALSE)</f>
        <v>#N/A</v>
      </c>
      <c r="H1245" s="210" t="str">
        <f>TEXT(A1245,"ddd")</f>
        <v>Sat</v>
      </c>
    </row>
    <row r="1246" spans="1:8" x14ac:dyDescent="0.25">
      <c r="A1246" s="13"/>
      <c r="B1246" s="14"/>
      <c r="C1246" s="39"/>
      <c r="D1246" s="39"/>
      <c r="E1246" s="36" t="str">
        <f>IF(SUM(C1246:D1246)=0," ",SUM(C1246:D1246))</f>
        <v xml:space="preserve"> </v>
      </c>
      <c r="F1246" s="14"/>
      <c r="G1246" s="120" t="e">
        <f>VLOOKUP($B1246,Information!$C$8:$F$15,4,FALSE)</f>
        <v>#N/A</v>
      </c>
      <c r="H1246" s="210" t="str">
        <f>TEXT(A1246,"ddd")</f>
        <v>Sat</v>
      </c>
    </row>
    <row r="1247" spans="1:8" x14ac:dyDescent="0.25">
      <c r="A1247" s="13"/>
      <c r="B1247" s="14"/>
      <c r="C1247" s="39"/>
      <c r="D1247" s="39"/>
      <c r="E1247" s="36" t="str">
        <f>IF(SUM(C1247:D1247)=0," ",SUM(C1247:D1247))</f>
        <v xml:space="preserve"> </v>
      </c>
      <c r="F1247" s="14"/>
      <c r="G1247" s="120" t="e">
        <f>VLOOKUP($B1247,Information!$C$8:$F$15,4,FALSE)</f>
        <v>#N/A</v>
      </c>
      <c r="H1247" s="210" t="str">
        <f>TEXT(A1247,"ddd")</f>
        <v>Sat</v>
      </c>
    </row>
    <row r="1248" spans="1:8" x14ac:dyDescent="0.25">
      <c r="A1248" s="13"/>
      <c r="B1248" s="14"/>
      <c r="C1248" s="39"/>
      <c r="D1248" s="39"/>
      <c r="E1248" s="36" t="str">
        <f>IF(SUM(C1248:D1248)=0," ",SUM(C1248:D1248))</f>
        <v xml:space="preserve"> </v>
      </c>
      <c r="F1248" s="14"/>
      <c r="G1248" s="120" t="e">
        <f>VLOOKUP($B1248,Information!$C$8:$F$15,4,FALSE)</f>
        <v>#N/A</v>
      </c>
      <c r="H1248" s="210" t="str">
        <f>TEXT(A1248,"ddd")</f>
        <v>Sat</v>
      </c>
    </row>
    <row r="1249" spans="1:8" x14ac:dyDescent="0.25">
      <c r="A1249" s="13"/>
      <c r="B1249" s="14"/>
      <c r="C1249" s="39"/>
      <c r="D1249" s="39"/>
      <c r="E1249" s="36" t="str">
        <f>IF(SUM(C1249:D1249)=0," ",SUM(C1249:D1249))</f>
        <v xml:space="preserve"> </v>
      </c>
      <c r="F1249" s="14"/>
      <c r="G1249" s="120" t="e">
        <f>VLOOKUP($B1249,Information!$C$8:$F$15,4,FALSE)</f>
        <v>#N/A</v>
      </c>
      <c r="H1249" s="210" t="str">
        <f>TEXT(A1249,"ddd")</f>
        <v>Sat</v>
      </c>
    </row>
    <row r="1250" spans="1:8" x14ac:dyDescent="0.25">
      <c r="A1250" s="13"/>
      <c r="B1250" s="14"/>
      <c r="C1250" s="39"/>
      <c r="D1250" s="39"/>
      <c r="E1250" s="36" t="str">
        <f>IF(SUM(C1250:D1250)=0," ",SUM(C1250:D1250))</f>
        <v xml:space="preserve"> </v>
      </c>
      <c r="F1250" s="14"/>
      <c r="G1250" s="120" t="e">
        <f>VLOOKUP($B1250,Information!$C$8:$F$15,4,FALSE)</f>
        <v>#N/A</v>
      </c>
      <c r="H1250" s="210" t="str">
        <f>TEXT(A1250,"ddd")</f>
        <v>Sat</v>
      </c>
    </row>
    <row r="1251" spans="1:8" x14ac:dyDescent="0.25">
      <c r="A1251" s="13"/>
      <c r="B1251" s="14"/>
      <c r="C1251" s="39"/>
      <c r="D1251" s="39"/>
      <c r="E1251" s="36" t="str">
        <f>IF(SUM(C1251:D1251)=0," ",SUM(C1251:D1251))</f>
        <v xml:space="preserve"> </v>
      </c>
      <c r="F1251" s="14"/>
      <c r="G1251" s="120" t="e">
        <f>VLOOKUP($B1251,Information!$C$8:$F$15,4,FALSE)</f>
        <v>#N/A</v>
      </c>
      <c r="H1251" s="210" t="str">
        <f>TEXT(A1251,"ddd")</f>
        <v>Sat</v>
      </c>
    </row>
    <row r="1252" spans="1:8" x14ac:dyDescent="0.25">
      <c r="A1252" s="13"/>
      <c r="B1252" s="14"/>
      <c r="C1252" s="39"/>
      <c r="D1252" s="39"/>
      <c r="E1252" s="36" t="str">
        <f>IF(SUM(C1252:D1252)=0," ",SUM(C1252:D1252))</f>
        <v xml:space="preserve"> </v>
      </c>
      <c r="F1252" s="14"/>
      <c r="G1252" s="120" t="e">
        <f>VLOOKUP($B1252,Information!$C$8:$F$15,4,FALSE)</f>
        <v>#N/A</v>
      </c>
      <c r="H1252" s="210" t="str">
        <f>TEXT(A1252,"ddd")</f>
        <v>Sat</v>
      </c>
    </row>
    <row r="1253" spans="1:8" x14ac:dyDescent="0.25">
      <c r="A1253" s="13"/>
      <c r="B1253" s="14"/>
      <c r="C1253" s="39"/>
      <c r="D1253" s="39"/>
      <c r="E1253" s="36" t="str">
        <f>IF(SUM(C1253:D1253)=0," ",SUM(C1253:D1253))</f>
        <v xml:space="preserve"> </v>
      </c>
      <c r="F1253" s="14"/>
      <c r="G1253" s="120" t="e">
        <f>VLOOKUP($B1253,Information!$C$8:$F$15,4,FALSE)</f>
        <v>#N/A</v>
      </c>
      <c r="H1253" s="210" t="str">
        <f>TEXT(A1253,"ddd")</f>
        <v>Sat</v>
      </c>
    </row>
    <row r="1254" spans="1:8" x14ac:dyDescent="0.25">
      <c r="A1254" s="13"/>
      <c r="B1254" s="14"/>
      <c r="C1254" s="39"/>
      <c r="D1254" s="39"/>
      <c r="E1254" s="36" t="str">
        <f>IF(SUM(C1254:D1254)=0," ",SUM(C1254:D1254))</f>
        <v xml:space="preserve"> </v>
      </c>
      <c r="F1254" s="14"/>
      <c r="G1254" s="120" t="e">
        <f>VLOOKUP($B1254,Information!$C$8:$F$15,4,FALSE)</f>
        <v>#N/A</v>
      </c>
      <c r="H1254" s="210" t="str">
        <f>TEXT(A1254,"ddd")</f>
        <v>Sat</v>
      </c>
    </row>
    <row r="1255" spans="1:8" x14ac:dyDescent="0.25">
      <c r="A1255" s="13"/>
      <c r="B1255" s="14"/>
      <c r="C1255" s="39"/>
      <c r="D1255" s="39"/>
      <c r="E1255" s="36" t="str">
        <f>IF(SUM(C1255:D1255)=0," ",SUM(C1255:D1255))</f>
        <v xml:space="preserve"> </v>
      </c>
      <c r="F1255" s="14"/>
      <c r="G1255" s="120" t="e">
        <f>VLOOKUP($B1255,Information!$C$8:$F$15,4,FALSE)</f>
        <v>#N/A</v>
      </c>
      <c r="H1255" s="210" t="str">
        <f>TEXT(A1255,"ddd")</f>
        <v>Sat</v>
      </c>
    </row>
    <row r="1256" spans="1:8" x14ac:dyDescent="0.25">
      <c r="A1256" s="13"/>
      <c r="B1256" s="14"/>
      <c r="C1256" s="39"/>
      <c r="D1256" s="39"/>
      <c r="E1256" s="36" t="str">
        <f>IF(SUM(C1256:D1256)=0," ",SUM(C1256:D1256))</f>
        <v xml:space="preserve"> </v>
      </c>
      <c r="F1256" s="14"/>
      <c r="G1256" s="120" t="e">
        <f>VLOOKUP($B1256,Information!$C$8:$F$15,4,FALSE)</f>
        <v>#N/A</v>
      </c>
      <c r="H1256" s="210" t="str">
        <f>TEXT(A1256,"ddd")</f>
        <v>Sat</v>
      </c>
    </row>
    <row r="1257" spans="1:8" x14ac:dyDescent="0.25">
      <c r="A1257" s="13"/>
      <c r="B1257" s="14"/>
      <c r="C1257" s="39"/>
      <c r="D1257" s="39"/>
      <c r="E1257" s="36" t="str">
        <f>IF(SUM(C1257:D1257)=0," ",SUM(C1257:D1257))</f>
        <v xml:space="preserve"> </v>
      </c>
      <c r="F1257" s="14"/>
      <c r="G1257" s="120" t="e">
        <f>VLOOKUP($B1257,Information!$C$8:$F$15,4,FALSE)</f>
        <v>#N/A</v>
      </c>
      <c r="H1257" s="210" t="str">
        <f>TEXT(A1257,"ddd")</f>
        <v>Sat</v>
      </c>
    </row>
    <row r="1258" spans="1:8" x14ac:dyDescent="0.25">
      <c r="A1258" s="13"/>
      <c r="B1258" s="14"/>
      <c r="C1258" s="39"/>
      <c r="D1258" s="39"/>
      <c r="E1258" s="36" t="str">
        <f>IF(SUM(C1258:D1258)=0," ",SUM(C1258:D1258))</f>
        <v xml:space="preserve"> </v>
      </c>
      <c r="F1258" s="14"/>
      <c r="G1258" s="120" t="e">
        <f>VLOOKUP($B1258,Information!$C$8:$F$15,4,FALSE)</f>
        <v>#N/A</v>
      </c>
      <c r="H1258" s="210" t="str">
        <f>TEXT(A1258,"ddd")</f>
        <v>Sat</v>
      </c>
    </row>
    <row r="1259" spans="1:8" x14ac:dyDescent="0.25">
      <c r="A1259" s="13"/>
      <c r="B1259" s="14"/>
      <c r="C1259" s="39"/>
      <c r="D1259" s="39"/>
      <c r="E1259" s="36" t="str">
        <f>IF(SUM(C1259:D1259)=0," ",SUM(C1259:D1259))</f>
        <v xml:space="preserve"> </v>
      </c>
      <c r="F1259" s="14"/>
      <c r="G1259" s="120" t="e">
        <f>VLOOKUP($B1259,Information!$C$8:$F$15,4,FALSE)</f>
        <v>#N/A</v>
      </c>
      <c r="H1259" s="210" t="str">
        <f>TEXT(A1259,"ddd")</f>
        <v>Sat</v>
      </c>
    </row>
    <row r="1260" spans="1:8" x14ac:dyDescent="0.25">
      <c r="A1260" s="13"/>
      <c r="B1260" s="14"/>
      <c r="C1260" s="39"/>
      <c r="D1260" s="39"/>
      <c r="E1260" s="36" t="str">
        <f>IF(SUM(C1260:D1260)=0," ",SUM(C1260:D1260))</f>
        <v xml:space="preserve"> </v>
      </c>
      <c r="F1260" s="14"/>
      <c r="G1260" s="120" t="e">
        <f>VLOOKUP($B1260,Information!$C$8:$F$15,4,FALSE)</f>
        <v>#N/A</v>
      </c>
      <c r="H1260" s="210" t="str">
        <f>TEXT(A1260,"ddd")</f>
        <v>Sat</v>
      </c>
    </row>
    <row r="1261" spans="1:8" x14ac:dyDescent="0.25">
      <c r="A1261" s="13"/>
      <c r="B1261" s="14"/>
      <c r="C1261" s="39"/>
      <c r="D1261" s="39"/>
      <c r="E1261" s="36" t="str">
        <f>IF(SUM(C1261:D1261)=0," ",SUM(C1261:D1261))</f>
        <v xml:space="preserve"> </v>
      </c>
      <c r="F1261" s="14"/>
      <c r="G1261" s="120" t="e">
        <f>VLOOKUP($B1261,Information!$C$8:$F$15,4,FALSE)</f>
        <v>#N/A</v>
      </c>
      <c r="H1261" s="210" t="str">
        <f>TEXT(A1261,"ddd")</f>
        <v>Sat</v>
      </c>
    </row>
    <row r="1262" spans="1:8" x14ac:dyDescent="0.25">
      <c r="A1262" s="13"/>
      <c r="B1262" s="14"/>
      <c r="C1262" s="39"/>
      <c r="D1262" s="39"/>
      <c r="E1262" s="36" t="str">
        <f>IF(SUM(C1262:D1262)=0," ",SUM(C1262:D1262))</f>
        <v xml:space="preserve"> </v>
      </c>
      <c r="F1262" s="14"/>
      <c r="G1262" s="120" t="e">
        <f>VLOOKUP($B1262,Information!$C$8:$F$15,4,FALSE)</f>
        <v>#N/A</v>
      </c>
      <c r="H1262" s="210" t="str">
        <f>TEXT(A1262,"ddd")</f>
        <v>Sat</v>
      </c>
    </row>
    <row r="1263" spans="1:8" x14ac:dyDescent="0.25">
      <c r="A1263" s="13"/>
      <c r="B1263" s="14"/>
      <c r="C1263" s="39"/>
      <c r="D1263" s="39"/>
      <c r="E1263" s="36" t="str">
        <f>IF(SUM(C1263:D1263)=0," ",SUM(C1263:D1263))</f>
        <v xml:space="preserve"> </v>
      </c>
      <c r="F1263" s="14"/>
      <c r="G1263" s="120" t="e">
        <f>VLOOKUP($B1263,Information!$C$8:$F$15,4,FALSE)</f>
        <v>#N/A</v>
      </c>
      <c r="H1263" s="210" t="str">
        <f>TEXT(A1263,"ddd")</f>
        <v>Sat</v>
      </c>
    </row>
    <row r="1264" spans="1:8" x14ac:dyDescent="0.25">
      <c r="A1264" s="13"/>
      <c r="B1264" s="14"/>
      <c r="C1264" s="39"/>
      <c r="D1264" s="39"/>
      <c r="E1264" s="36" t="str">
        <f>IF(SUM(C1264:D1264)=0," ",SUM(C1264:D1264))</f>
        <v xml:space="preserve"> </v>
      </c>
      <c r="F1264" s="14"/>
      <c r="G1264" s="120" t="e">
        <f>VLOOKUP($B1264,Information!$C$8:$F$15,4,FALSE)</f>
        <v>#N/A</v>
      </c>
      <c r="H1264" s="210" t="str">
        <f>TEXT(A1264,"ddd")</f>
        <v>Sat</v>
      </c>
    </row>
    <row r="1265" spans="1:8" x14ac:dyDescent="0.25">
      <c r="A1265" s="13"/>
      <c r="B1265" s="14"/>
      <c r="C1265" s="39"/>
      <c r="D1265" s="39"/>
      <c r="E1265" s="36" t="str">
        <f>IF(SUM(C1265:D1265)=0," ",SUM(C1265:D1265))</f>
        <v xml:space="preserve"> </v>
      </c>
      <c r="F1265" s="14"/>
      <c r="G1265" s="120" t="e">
        <f>VLOOKUP($B1265,Information!$C$8:$F$15,4,FALSE)</f>
        <v>#N/A</v>
      </c>
      <c r="H1265" s="210" t="str">
        <f>TEXT(A1265,"ddd")</f>
        <v>Sat</v>
      </c>
    </row>
    <row r="1266" spans="1:8" x14ac:dyDescent="0.25">
      <c r="A1266" s="13"/>
      <c r="B1266" s="14"/>
      <c r="C1266" s="39"/>
      <c r="D1266" s="39"/>
      <c r="E1266" s="36" t="str">
        <f>IF(SUM(C1266:D1266)=0," ",SUM(C1266:D1266))</f>
        <v xml:space="preserve"> </v>
      </c>
      <c r="F1266" s="14"/>
      <c r="G1266" s="120" t="e">
        <f>VLOOKUP($B1266,Information!$C$8:$F$15,4,FALSE)</f>
        <v>#N/A</v>
      </c>
      <c r="H1266" s="210" t="str">
        <f>TEXT(A1266,"ddd")</f>
        <v>Sat</v>
      </c>
    </row>
    <row r="1267" spans="1:8" x14ac:dyDescent="0.25">
      <c r="A1267" s="13"/>
      <c r="B1267" s="14"/>
      <c r="C1267" s="39"/>
      <c r="D1267" s="39"/>
      <c r="E1267" s="36" t="str">
        <f>IF(SUM(C1267:D1267)=0," ",SUM(C1267:D1267))</f>
        <v xml:space="preserve"> </v>
      </c>
      <c r="F1267" s="14"/>
      <c r="G1267" s="120" t="e">
        <f>VLOOKUP($B1267,Information!$C$8:$F$15,4,FALSE)</f>
        <v>#N/A</v>
      </c>
      <c r="H1267" s="210" t="str">
        <f>TEXT(A1267,"ddd")</f>
        <v>Sat</v>
      </c>
    </row>
    <row r="1268" spans="1:8" x14ac:dyDescent="0.25">
      <c r="A1268" s="13"/>
      <c r="B1268" s="14"/>
      <c r="C1268" s="39"/>
      <c r="D1268" s="39"/>
      <c r="E1268" s="36" t="str">
        <f>IF(SUM(C1268:D1268)=0," ",SUM(C1268:D1268))</f>
        <v xml:space="preserve"> </v>
      </c>
      <c r="F1268" s="14"/>
      <c r="G1268" s="120" t="e">
        <f>VLOOKUP($B1268,Information!$C$8:$F$15,4,FALSE)</f>
        <v>#N/A</v>
      </c>
      <c r="H1268" s="210" t="str">
        <f>TEXT(A1268,"ddd")</f>
        <v>Sat</v>
      </c>
    </row>
    <row r="1269" spans="1:8" x14ac:dyDescent="0.25">
      <c r="A1269" s="13"/>
      <c r="B1269" s="14"/>
      <c r="C1269" s="39"/>
      <c r="D1269" s="39"/>
      <c r="E1269" s="36" t="str">
        <f>IF(SUM(C1269:D1269)=0," ",SUM(C1269:D1269))</f>
        <v xml:space="preserve"> </v>
      </c>
      <c r="F1269" s="14"/>
      <c r="G1269" s="120" t="e">
        <f>VLOOKUP($B1269,Information!$C$8:$F$15,4,FALSE)</f>
        <v>#N/A</v>
      </c>
      <c r="H1269" s="210" t="str">
        <f>TEXT(A1269,"ddd")</f>
        <v>Sat</v>
      </c>
    </row>
    <row r="1270" spans="1:8" x14ac:dyDescent="0.25">
      <c r="A1270" s="13"/>
      <c r="B1270" s="14"/>
      <c r="C1270" s="39"/>
      <c r="D1270" s="39"/>
      <c r="E1270" s="36" t="str">
        <f>IF(SUM(C1270:D1270)=0," ",SUM(C1270:D1270))</f>
        <v xml:space="preserve"> </v>
      </c>
      <c r="F1270" s="14"/>
      <c r="G1270" s="120" t="e">
        <f>VLOOKUP($B1270,Information!$C$8:$F$15,4,FALSE)</f>
        <v>#N/A</v>
      </c>
      <c r="H1270" s="210" t="str">
        <f>TEXT(A1270,"ddd")</f>
        <v>Sat</v>
      </c>
    </row>
    <row r="1271" spans="1:8" x14ac:dyDescent="0.25">
      <c r="A1271" s="13"/>
      <c r="B1271" s="14"/>
      <c r="C1271" s="39"/>
      <c r="D1271" s="39"/>
      <c r="E1271" s="36" t="str">
        <f>IF(SUM(C1271:D1271)=0," ",SUM(C1271:D1271))</f>
        <v xml:space="preserve"> </v>
      </c>
      <c r="F1271" s="14"/>
      <c r="G1271" s="120" t="e">
        <f>VLOOKUP($B1271,Information!$C$8:$F$15,4,FALSE)</f>
        <v>#N/A</v>
      </c>
      <c r="H1271" s="210" t="str">
        <f>TEXT(A1271,"ddd")</f>
        <v>Sat</v>
      </c>
    </row>
    <row r="1272" spans="1:8" x14ac:dyDescent="0.25">
      <c r="A1272" s="13"/>
      <c r="B1272" s="14"/>
      <c r="C1272" s="39"/>
      <c r="D1272" s="39"/>
      <c r="E1272" s="36" t="str">
        <f>IF(SUM(C1272:D1272)=0," ",SUM(C1272:D1272))</f>
        <v xml:space="preserve"> </v>
      </c>
      <c r="F1272" s="14"/>
      <c r="G1272" s="120" t="e">
        <f>VLOOKUP($B1272,Information!$C$8:$F$15,4,FALSE)</f>
        <v>#N/A</v>
      </c>
      <c r="H1272" s="210" t="str">
        <f>TEXT(A1272,"ddd")</f>
        <v>Sat</v>
      </c>
    </row>
    <row r="1273" spans="1:8" x14ac:dyDescent="0.25">
      <c r="A1273" s="13"/>
      <c r="B1273" s="14"/>
      <c r="C1273" s="39"/>
      <c r="D1273" s="39"/>
      <c r="E1273" s="36" t="str">
        <f>IF(SUM(C1273:D1273)=0," ",SUM(C1273:D1273))</f>
        <v xml:space="preserve"> </v>
      </c>
      <c r="F1273" s="14"/>
      <c r="G1273" s="120" t="e">
        <f>VLOOKUP($B1273,Information!$C$8:$F$15,4,FALSE)</f>
        <v>#N/A</v>
      </c>
      <c r="H1273" s="210" t="str">
        <f>TEXT(A1273,"ddd")</f>
        <v>Sat</v>
      </c>
    </row>
    <row r="1274" spans="1:8" x14ac:dyDescent="0.25">
      <c r="A1274" s="13"/>
      <c r="B1274" s="14"/>
      <c r="C1274" s="39"/>
      <c r="D1274" s="39"/>
      <c r="E1274" s="36" t="str">
        <f>IF(SUM(C1274:D1274)=0," ",SUM(C1274:D1274))</f>
        <v xml:space="preserve"> </v>
      </c>
      <c r="F1274" s="14"/>
      <c r="G1274" s="120" t="e">
        <f>VLOOKUP($B1274,Information!$C$8:$F$15,4,FALSE)</f>
        <v>#N/A</v>
      </c>
      <c r="H1274" s="210" t="str">
        <f>TEXT(A1274,"ddd")</f>
        <v>Sat</v>
      </c>
    </row>
    <row r="1275" spans="1:8" x14ac:dyDescent="0.25">
      <c r="A1275" s="13"/>
      <c r="B1275" s="14"/>
      <c r="C1275" s="39"/>
      <c r="D1275" s="39"/>
      <c r="E1275" s="36" t="str">
        <f>IF(SUM(C1275:D1275)=0," ",SUM(C1275:D1275))</f>
        <v xml:space="preserve"> </v>
      </c>
      <c r="F1275" s="14"/>
      <c r="G1275" s="120" t="e">
        <f>VLOOKUP($B1275,Information!$C$8:$F$15,4,FALSE)</f>
        <v>#N/A</v>
      </c>
      <c r="H1275" s="210" t="str">
        <f>TEXT(A1275,"ddd")</f>
        <v>Sat</v>
      </c>
    </row>
    <row r="1276" spans="1:8" x14ac:dyDescent="0.25">
      <c r="A1276" s="13"/>
      <c r="B1276" s="14"/>
      <c r="C1276" s="39"/>
      <c r="D1276" s="39"/>
      <c r="E1276" s="36" t="str">
        <f>IF(SUM(C1276:D1276)=0," ",SUM(C1276:D1276))</f>
        <v xml:space="preserve"> </v>
      </c>
      <c r="F1276" s="14"/>
      <c r="G1276" s="120" t="e">
        <f>VLOOKUP($B1276,Information!$C$8:$F$15,4,FALSE)</f>
        <v>#N/A</v>
      </c>
      <c r="H1276" s="210" t="str">
        <f>TEXT(A1276,"ddd")</f>
        <v>Sat</v>
      </c>
    </row>
    <row r="1277" spans="1:8" x14ac:dyDescent="0.25">
      <c r="A1277" s="13"/>
      <c r="B1277" s="14"/>
      <c r="C1277" s="39"/>
      <c r="D1277" s="39"/>
      <c r="E1277" s="36" t="str">
        <f>IF(SUM(C1277:D1277)=0," ",SUM(C1277:D1277))</f>
        <v xml:space="preserve"> </v>
      </c>
      <c r="F1277" s="14"/>
      <c r="G1277" s="120" t="e">
        <f>VLOOKUP($B1277,Information!$C$8:$F$15,4,FALSE)</f>
        <v>#N/A</v>
      </c>
      <c r="H1277" s="210" t="str">
        <f>TEXT(A1277,"ddd")</f>
        <v>Sat</v>
      </c>
    </row>
    <row r="1278" spans="1:8" x14ac:dyDescent="0.25">
      <c r="A1278" s="13"/>
      <c r="B1278" s="14"/>
      <c r="C1278" s="39"/>
      <c r="D1278" s="39"/>
      <c r="E1278" s="36" t="str">
        <f>IF(SUM(C1278:D1278)=0," ",SUM(C1278:D1278))</f>
        <v xml:space="preserve"> </v>
      </c>
      <c r="F1278" s="14"/>
      <c r="G1278" s="120" t="e">
        <f>VLOOKUP($B1278,Information!$C$8:$F$15,4,FALSE)</f>
        <v>#N/A</v>
      </c>
      <c r="H1278" s="210" t="str">
        <f>TEXT(A1278,"ddd")</f>
        <v>Sat</v>
      </c>
    </row>
    <row r="1279" spans="1:8" x14ac:dyDescent="0.25">
      <c r="A1279" s="13"/>
      <c r="B1279" s="14"/>
      <c r="C1279" s="39"/>
      <c r="D1279" s="39"/>
      <c r="E1279" s="36" t="str">
        <f>IF(SUM(C1279:D1279)=0," ",SUM(C1279:D1279))</f>
        <v xml:space="preserve"> </v>
      </c>
      <c r="F1279" s="14"/>
      <c r="G1279" s="120" t="e">
        <f>VLOOKUP($B1279,Information!$C$8:$F$15,4,FALSE)</f>
        <v>#N/A</v>
      </c>
      <c r="H1279" s="210" t="str">
        <f>TEXT(A1279,"ddd")</f>
        <v>Sat</v>
      </c>
    </row>
    <row r="1280" spans="1:8" x14ac:dyDescent="0.25">
      <c r="A1280" s="13"/>
      <c r="B1280" s="14"/>
      <c r="C1280" s="39"/>
      <c r="D1280" s="39"/>
      <c r="E1280" s="36" t="str">
        <f>IF(SUM(C1280:D1280)=0," ",SUM(C1280:D1280))</f>
        <v xml:space="preserve"> </v>
      </c>
      <c r="F1280" s="14"/>
      <c r="G1280" s="120" t="e">
        <f>VLOOKUP($B1280,Information!$C$8:$F$15,4,FALSE)</f>
        <v>#N/A</v>
      </c>
      <c r="H1280" s="210" t="str">
        <f>TEXT(A1280,"ddd")</f>
        <v>Sat</v>
      </c>
    </row>
    <row r="1281" spans="1:8" x14ac:dyDescent="0.25">
      <c r="A1281" s="13"/>
      <c r="B1281" s="14"/>
      <c r="C1281" s="39"/>
      <c r="D1281" s="39"/>
      <c r="E1281" s="36" t="str">
        <f>IF(SUM(C1281:D1281)=0," ",SUM(C1281:D1281))</f>
        <v xml:space="preserve"> </v>
      </c>
      <c r="F1281" s="14"/>
      <c r="G1281" s="120" t="e">
        <f>VLOOKUP($B1281,Information!$C$8:$F$15,4,FALSE)</f>
        <v>#N/A</v>
      </c>
      <c r="H1281" s="210" t="str">
        <f>TEXT(A1281,"ddd")</f>
        <v>Sat</v>
      </c>
    </row>
    <row r="1282" spans="1:8" x14ac:dyDescent="0.25">
      <c r="A1282" s="13"/>
      <c r="B1282" s="14"/>
      <c r="C1282" s="39"/>
      <c r="D1282" s="39"/>
      <c r="E1282" s="36" t="str">
        <f>IF(SUM(C1282:D1282)=0," ",SUM(C1282:D1282))</f>
        <v xml:space="preserve"> </v>
      </c>
      <c r="F1282" s="14"/>
      <c r="G1282" s="120" t="e">
        <f>VLOOKUP($B1282,Information!$C$8:$F$15,4,FALSE)</f>
        <v>#N/A</v>
      </c>
      <c r="H1282" s="210" t="str">
        <f>TEXT(A1282,"ddd")</f>
        <v>Sat</v>
      </c>
    </row>
    <row r="1283" spans="1:8" x14ac:dyDescent="0.25">
      <c r="A1283" s="13"/>
      <c r="B1283" s="14"/>
      <c r="C1283" s="39"/>
      <c r="D1283" s="39"/>
      <c r="E1283" s="36" t="str">
        <f>IF(SUM(C1283:D1283)=0," ",SUM(C1283:D1283))</f>
        <v xml:space="preserve"> </v>
      </c>
      <c r="F1283" s="14"/>
      <c r="G1283" s="120" t="e">
        <f>VLOOKUP($B1283,Information!$C$8:$F$15,4,FALSE)</f>
        <v>#N/A</v>
      </c>
      <c r="H1283" s="210" t="str">
        <f>TEXT(A1283,"ddd")</f>
        <v>Sat</v>
      </c>
    </row>
    <row r="1284" spans="1:8" x14ac:dyDescent="0.25">
      <c r="A1284" s="13"/>
      <c r="B1284" s="14"/>
      <c r="C1284" s="39"/>
      <c r="D1284" s="39"/>
      <c r="E1284" s="36" t="str">
        <f>IF(SUM(C1284:D1284)=0," ",SUM(C1284:D1284))</f>
        <v xml:space="preserve"> </v>
      </c>
      <c r="F1284" s="14"/>
      <c r="G1284" s="120" t="e">
        <f>VLOOKUP($B1284,Information!$C$8:$F$15,4,FALSE)</f>
        <v>#N/A</v>
      </c>
      <c r="H1284" s="210" t="str">
        <f>TEXT(A1284,"ddd")</f>
        <v>Sat</v>
      </c>
    </row>
    <row r="1285" spans="1:8" x14ac:dyDescent="0.25">
      <c r="A1285" s="13"/>
      <c r="B1285" s="14"/>
      <c r="C1285" s="39"/>
      <c r="D1285" s="39"/>
      <c r="E1285" s="36" t="str">
        <f>IF(SUM(C1285:D1285)=0," ",SUM(C1285:D1285))</f>
        <v xml:space="preserve"> </v>
      </c>
      <c r="F1285" s="14"/>
      <c r="G1285" s="120" t="e">
        <f>VLOOKUP($B1285,Information!$C$8:$F$15,4,FALSE)</f>
        <v>#N/A</v>
      </c>
      <c r="H1285" s="210" t="str">
        <f>TEXT(A1285,"ddd")</f>
        <v>Sat</v>
      </c>
    </row>
    <row r="1286" spans="1:8" x14ac:dyDescent="0.25">
      <c r="A1286" s="13"/>
      <c r="B1286" s="14"/>
      <c r="C1286" s="39"/>
      <c r="D1286" s="39"/>
      <c r="E1286" s="36" t="str">
        <f>IF(SUM(C1286:D1286)=0," ",SUM(C1286:D1286))</f>
        <v xml:space="preserve"> </v>
      </c>
      <c r="F1286" s="14"/>
      <c r="G1286" s="120" t="e">
        <f>VLOOKUP($B1286,Information!$C$8:$F$15,4,FALSE)</f>
        <v>#N/A</v>
      </c>
      <c r="H1286" s="210" t="str">
        <f>TEXT(A1286,"ddd")</f>
        <v>Sat</v>
      </c>
    </row>
    <row r="1287" spans="1:8" x14ac:dyDescent="0.25">
      <c r="A1287" s="13"/>
      <c r="B1287" s="14"/>
      <c r="C1287" s="39"/>
      <c r="D1287" s="39"/>
      <c r="E1287" s="36" t="str">
        <f>IF(SUM(C1287:D1287)=0," ",SUM(C1287:D1287))</f>
        <v xml:space="preserve"> </v>
      </c>
      <c r="F1287" s="14"/>
      <c r="G1287" s="120" t="e">
        <f>VLOOKUP($B1287,Information!$C$8:$F$15,4,FALSE)</f>
        <v>#N/A</v>
      </c>
      <c r="H1287" s="210" t="str">
        <f>TEXT(A1287,"ddd")</f>
        <v>Sat</v>
      </c>
    </row>
    <row r="1288" spans="1:8" x14ac:dyDescent="0.25">
      <c r="A1288" s="13"/>
      <c r="B1288" s="14"/>
      <c r="C1288" s="39"/>
      <c r="D1288" s="39"/>
      <c r="E1288" s="36" t="str">
        <f>IF(SUM(C1288:D1288)=0," ",SUM(C1288:D1288))</f>
        <v xml:space="preserve"> </v>
      </c>
      <c r="F1288" s="14"/>
      <c r="G1288" s="120" t="e">
        <f>VLOOKUP($B1288,Information!$C$8:$F$15,4,FALSE)</f>
        <v>#N/A</v>
      </c>
      <c r="H1288" s="210" t="str">
        <f>TEXT(A1288,"ddd")</f>
        <v>Sat</v>
      </c>
    </row>
    <row r="1289" spans="1:8" x14ac:dyDescent="0.25">
      <c r="A1289" s="13"/>
      <c r="B1289" s="14"/>
      <c r="C1289" s="39"/>
      <c r="D1289" s="39"/>
      <c r="E1289" s="36" t="str">
        <f>IF(SUM(C1289:D1289)=0," ",SUM(C1289:D1289))</f>
        <v xml:space="preserve"> </v>
      </c>
      <c r="F1289" s="14"/>
      <c r="G1289" s="120" t="e">
        <f>VLOOKUP($B1289,Information!$C$8:$F$15,4,FALSE)</f>
        <v>#N/A</v>
      </c>
      <c r="H1289" s="210" t="str">
        <f>TEXT(A1289,"ddd")</f>
        <v>Sat</v>
      </c>
    </row>
    <row r="1290" spans="1:8" x14ac:dyDescent="0.25">
      <c r="A1290" s="13"/>
      <c r="B1290" s="14"/>
      <c r="C1290" s="39"/>
      <c r="D1290" s="39"/>
      <c r="E1290" s="36" t="str">
        <f>IF(SUM(C1290:D1290)=0," ",SUM(C1290:D1290))</f>
        <v xml:space="preserve"> </v>
      </c>
      <c r="F1290" s="14"/>
      <c r="G1290" s="120" t="e">
        <f>VLOOKUP($B1290,Information!$C$8:$F$15,4,FALSE)</f>
        <v>#N/A</v>
      </c>
      <c r="H1290" s="210" t="str">
        <f>TEXT(A1290,"ddd")</f>
        <v>Sat</v>
      </c>
    </row>
    <row r="1291" spans="1:8" x14ac:dyDescent="0.25">
      <c r="A1291" s="13"/>
      <c r="B1291" s="14"/>
      <c r="C1291" s="39"/>
      <c r="D1291" s="39"/>
      <c r="E1291" s="36" t="str">
        <f>IF(SUM(C1291:D1291)=0," ",SUM(C1291:D1291))</f>
        <v xml:space="preserve"> </v>
      </c>
      <c r="F1291" s="14"/>
      <c r="G1291" s="120" t="e">
        <f>VLOOKUP($B1291,Information!$C$8:$F$15,4,FALSE)</f>
        <v>#N/A</v>
      </c>
      <c r="H1291" s="210" t="str">
        <f>TEXT(A1291,"ddd")</f>
        <v>Sat</v>
      </c>
    </row>
    <row r="1292" spans="1:8" x14ac:dyDescent="0.25">
      <c r="A1292" s="13"/>
      <c r="B1292" s="14"/>
      <c r="C1292" s="39"/>
      <c r="D1292" s="39"/>
      <c r="E1292" s="36" t="str">
        <f>IF(SUM(C1292:D1292)=0," ",SUM(C1292:D1292))</f>
        <v xml:space="preserve"> </v>
      </c>
      <c r="F1292" s="14"/>
      <c r="G1292" s="120" t="e">
        <f>VLOOKUP($B1292,Information!$C$8:$F$15,4,FALSE)</f>
        <v>#N/A</v>
      </c>
      <c r="H1292" s="210" t="str">
        <f>TEXT(A1292,"ddd")</f>
        <v>Sat</v>
      </c>
    </row>
    <row r="1293" spans="1:8" x14ac:dyDescent="0.25">
      <c r="A1293" s="13"/>
      <c r="B1293" s="14"/>
      <c r="C1293" s="39"/>
      <c r="D1293" s="39"/>
      <c r="E1293" s="36" t="str">
        <f>IF(SUM(C1293:D1293)=0," ",SUM(C1293:D1293))</f>
        <v xml:space="preserve"> </v>
      </c>
      <c r="F1293" s="14"/>
      <c r="G1293" s="120" t="e">
        <f>VLOOKUP($B1293,Information!$C$8:$F$15,4,FALSE)</f>
        <v>#N/A</v>
      </c>
      <c r="H1293" s="210" t="str">
        <f>TEXT(A1293,"ddd")</f>
        <v>Sat</v>
      </c>
    </row>
    <row r="1294" spans="1:8" x14ac:dyDescent="0.25">
      <c r="A1294" s="13"/>
      <c r="B1294" s="14"/>
      <c r="C1294" s="39"/>
      <c r="D1294" s="39"/>
      <c r="E1294" s="36" t="str">
        <f>IF(SUM(C1294:D1294)=0," ",SUM(C1294:D1294))</f>
        <v xml:space="preserve"> </v>
      </c>
      <c r="F1294" s="14"/>
      <c r="G1294" s="120" t="e">
        <f>VLOOKUP($B1294,Information!$C$8:$F$15,4,FALSE)</f>
        <v>#N/A</v>
      </c>
      <c r="H1294" s="210" t="str">
        <f>TEXT(A1294,"ddd")</f>
        <v>Sat</v>
      </c>
    </row>
    <row r="1295" spans="1:8" x14ac:dyDescent="0.25">
      <c r="A1295" s="13"/>
      <c r="B1295" s="14"/>
      <c r="C1295" s="39"/>
      <c r="D1295" s="39"/>
      <c r="E1295" s="36" t="str">
        <f>IF(SUM(C1295:D1295)=0," ",SUM(C1295:D1295))</f>
        <v xml:space="preserve"> </v>
      </c>
      <c r="F1295" s="14"/>
      <c r="G1295" s="120" t="e">
        <f>VLOOKUP($B1295,Information!$C$8:$F$15,4,FALSE)</f>
        <v>#N/A</v>
      </c>
      <c r="H1295" s="210" t="str">
        <f>TEXT(A1295,"ddd")</f>
        <v>Sat</v>
      </c>
    </row>
    <row r="1296" spans="1:8" x14ac:dyDescent="0.25">
      <c r="A1296" s="13"/>
      <c r="B1296" s="14"/>
      <c r="C1296" s="39"/>
      <c r="D1296" s="39"/>
      <c r="E1296" s="36" t="str">
        <f>IF(SUM(C1296:D1296)=0," ",SUM(C1296:D1296))</f>
        <v xml:space="preserve"> </v>
      </c>
      <c r="F1296" s="14"/>
      <c r="G1296" s="120" t="e">
        <f>VLOOKUP($B1296,Information!$C$8:$F$15,4,FALSE)</f>
        <v>#N/A</v>
      </c>
      <c r="H1296" s="210" t="str">
        <f>TEXT(A1296,"ddd")</f>
        <v>Sat</v>
      </c>
    </row>
    <row r="1297" spans="1:8" x14ac:dyDescent="0.25">
      <c r="A1297" s="13"/>
      <c r="B1297" s="14"/>
      <c r="C1297" s="39"/>
      <c r="D1297" s="39"/>
      <c r="E1297" s="36" t="str">
        <f>IF(SUM(C1297:D1297)=0," ",SUM(C1297:D1297))</f>
        <v xml:space="preserve"> </v>
      </c>
      <c r="F1297" s="14"/>
      <c r="G1297" s="120" t="e">
        <f>VLOOKUP($B1297,Information!$C$8:$F$15,4,FALSE)</f>
        <v>#N/A</v>
      </c>
      <c r="H1297" s="210" t="str">
        <f>TEXT(A1297,"ddd")</f>
        <v>Sat</v>
      </c>
    </row>
    <row r="1298" spans="1:8" x14ac:dyDescent="0.25">
      <c r="A1298" s="13"/>
      <c r="B1298" s="14"/>
      <c r="C1298" s="39"/>
      <c r="D1298" s="39"/>
      <c r="E1298" s="36" t="str">
        <f>IF(SUM(C1298:D1298)=0," ",SUM(C1298:D1298))</f>
        <v xml:space="preserve"> </v>
      </c>
      <c r="F1298" s="14"/>
      <c r="G1298" s="120" t="e">
        <f>VLOOKUP($B1298,Information!$C$8:$F$15,4,FALSE)</f>
        <v>#N/A</v>
      </c>
      <c r="H1298" s="210" t="str">
        <f>TEXT(A1298,"ddd")</f>
        <v>Sat</v>
      </c>
    </row>
    <row r="1299" spans="1:8" x14ac:dyDescent="0.25">
      <c r="A1299" s="13"/>
      <c r="B1299" s="14"/>
      <c r="C1299" s="39"/>
      <c r="D1299" s="39"/>
      <c r="E1299" s="36" t="str">
        <f>IF(SUM(C1299:D1299)=0," ",SUM(C1299:D1299))</f>
        <v xml:space="preserve"> </v>
      </c>
      <c r="F1299" s="14"/>
      <c r="G1299" s="120" t="e">
        <f>VLOOKUP($B1299,Information!$C$8:$F$15,4,FALSE)</f>
        <v>#N/A</v>
      </c>
      <c r="H1299" s="210" t="str">
        <f>TEXT(A1299,"ddd")</f>
        <v>Sat</v>
      </c>
    </row>
    <row r="1300" spans="1:8" x14ac:dyDescent="0.25">
      <c r="A1300" s="13"/>
      <c r="B1300" s="14"/>
      <c r="C1300" s="39"/>
      <c r="D1300" s="39"/>
      <c r="E1300" s="36" t="str">
        <f>IF(SUM(C1300:D1300)=0," ",SUM(C1300:D1300))</f>
        <v xml:space="preserve"> </v>
      </c>
      <c r="F1300" s="14"/>
      <c r="G1300" s="120" t="e">
        <f>VLOOKUP($B1300,Information!$C$8:$F$15,4,FALSE)</f>
        <v>#N/A</v>
      </c>
      <c r="H1300" s="210" t="str">
        <f>TEXT(A1300,"ddd")</f>
        <v>Sat</v>
      </c>
    </row>
    <row r="1301" spans="1:8" x14ac:dyDescent="0.25">
      <c r="A1301" s="13"/>
      <c r="B1301" s="14"/>
      <c r="C1301" s="39"/>
      <c r="D1301" s="39"/>
      <c r="E1301" s="36" t="str">
        <f>IF(SUM(C1301:D1301)=0," ",SUM(C1301:D1301))</f>
        <v xml:space="preserve"> </v>
      </c>
      <c r="F1301" s="14"/>
      <c r="G1301" s="120" t="e">
        <f>VLOOKUP($B1301,Information!$C$8:$F$15,4,FALSE)</f>
        <v>#N/A</v>
      </c>
      <c r="H1301" s="210" t="str">
        <f>TEXT(A1301,"ddd")</f>
        <v>Sat</v>
      </c>
    </row>
    <row r="1302" spans="1:8" x14ac:dyDescent="0.25">
      <c r="A1302" s="13"/>
      <c r="B1302" s="14"/>
      <c r="C1302" s="39"/>
      <c r="D1302" s="39"/>
      <c r="E1302" s="36" t="str">
        <f>IF(SUM(C1302:D1302)=0," ",SUM(C1302:D1302))</f>
        <v xml:space="preserve"> </v>
      </c>
      <c r="F1302" s="14"/>
      <c r="G1302" s="120" t="e">
        <f>VLOOKUP($B1302,Information!$C$8:$F$15,4,FALSE)</f>
        <v>#N/A</v>
      </c>
      <c r="H1302" s="210" t="str">
        <f>TEXT(A1302,"ddd")</f>
        <v>Sat</v>
      </c>
    </row>
    <row r="1303" spans="1:8" x14ac:dyDescent="0.25">
      <c r="A1303" s="13"/>
      <c r="B1303" s="14"/>
      <c r="C1303" s="39"/>
      <c r="D1303" s="39"/>
      <c r="E1303" s="36" t="str">
        <f>IF(SUM(C1303:D1303)=0," ",SUM(C1303:D1303))</f>
        <v xml:space="preserve"> </v>
      </c>
      <c r="F1303" s="14"/>
      <c r="G1303" s="120" t="e">
        <f>VLOOKUP($B1303,Information!$C$8:$F$15,4,FALSE)</f>
        <v>#N/A</v>
      </c>
      <c r="H1303" s="210" t="str">
        <f>TEXT(A1303,"ddd")</f>
        <v>Sat</v>
      </c>
    </row>
    <row r="1304" spans="1:8" x14ac:dyDescent="0.25">
      <c r="A1304" s="13"/>
      <c r="B1304" s="14"/>
      <c r="C1304" s="39"/>
      <c r="D1304" s="39"/>
      <c r="E1304" s="36" t="str">
        <f>IF(SUM(C1304:D1304)=0," ",SUM(C1304:D1304))</f>
        <v xml:space="preserve"> </v>
      </c>
      <c r="F1304" s="14"/>
      <c r="G1304" s="120" t="e">
        <f>VLOOKUP($B1304,Information!$C$8:$F$15,4,FALSE)</f>
        <v>#N/A</v>
      </c>
      <c r="H1304" s="210" t="str">
        <f>TEXT(A1304,"ddd")</f>
        <v>Sat</v>
      </c>
    </row>
    <row r="1305" spans="1:8" x14ac:dyDescent="0.25">
      <c r="A1305" s="13"/>
      <c r="B1305" s="14"/>
      <c r="C1305" s="39"/>
      <c r="D1305" s="39"/>
      <c r="E1305" s="36" t="str">
        <f>IF(SUM(C1305:D1305)=0," ",SUM(C1305:D1305))</f>
        <v xml:space="preserve"> </v>
      </c>
      <c r="F1305" s="14"/>
      <c r="G1305" s="120" t="e">
        <f>VLOOKUP($B1305,Information!$C$8:$F$15,4,FALSE)</f>
        <v>#N/A</v>
      </c>
      <c r="H1305" s="210" t="str">
        <f>TEXT(A1305,"ddd")</f>
        <v>Sat</v>
      </c>
    </row>
    <row r="1306" spans="1:8" x14ac:dyDescent="0.25">
      <c r="A1306" s="13"/>
      <c r="B1306" s="14"/>
      <c r="C1306" s="39"/>
      <c r="D1306" s="39"/>
      <c r="E1306" s="36" t="str">
        <f>IF(SUM(C1306:D1306)=0," ",SUM(C1306:D1306))</f>
        <v xml:space="preserve"> </v>
      </c>
      <c r="F1306" s="14"/>
      <c r="G1306" s="120" t="e">
        <f>VLOOKUP($B1306,Information!$C$8:$F$15,4,FALSE)</f>
        <v>#N/A</v>
      </c>
      <c r="H1306" s="210" t="str">
        <f>TEXT(A1306,"ddd")</f>
        <v>Sat</v>
      </c>
    </row>
    <row r="1307" spans="1:8" x14ac:dyDescent="0.25">
      <c r="A1307" s="13"/>
      <c r="B1307" s="14"/>
      <c r="C1307" s="39"/>
      <c r="D1307" s="39"/>
      <c r="E1307" s="36" t="str">
        <f>IF(SUM(C1307:D1307)=0," ",SUM(C1307:D1307))</f>
        <v xml:space="preserve"> </v>
      </c>
      <c r="F1307" s="14"/>
      <c r="G1307" s="120" t="e">
        <f>VLOOKUP($B1307,Information!$C$8:$F$15,4,FALSE)</f>
        <v>#N/A</v>
      </c>
      <c r="H1307" s="210" t="str">
        <f>TEXT(A1307,"ddd")</f>
        <v>Sat</v>
      </c>
    </row>
    <row r="1308" spans="1:8" x14ac:dyDescent="0.25">
      <c r="A1308" s="13"/>
      <c r="B1308" s="14"/>
      <c r="C1308" s="39"/>
      <c r="D1308" s="39"/>
      <c r="E1308" s="36" t="str">
        <f>IF(SUM(C1308:D1308)=0," ",SUM(C1308:D1308))</f>
        <v xml:space="preserve"> </v>
      </c>
      <c r="F1308" s="14"/>
      <c r="G1308" s="120" t="e">
        <f>VLOOKUP($B1308,Information!$C$8:$F$15,4,FALSE)</f>
        <v>#N/A</v>
      </c>
      <c r="H1308" s="210" t="str">
        <f>TEXT(A1308,"ddd")</f>
        <v>Sat</v>
      </c>
    </row>
    <row r="1309" spans="1:8" x14ac:dyDescent="0.25">
      <c r="A1309" s="13"/>
      <c r="B1309" s="14"/>
      <c r="C1309" s="39"/>
      <c r="D1309" s="39"/>
      <c r="E1309" s="36" t="str">
        <f>IF(SUM(C1309:D1309)=0," ",SUM(C1309:D1309))</f>
        <v xml:space="preserve"> </v>
      </c>
      <c r="F1309" s="14"/>
      <c r="G1309" s="120" t="e">
        <f>VLOOKUP($B1309,Information!$C$8:$F$15,4,FALSE)</f>
        <v>#N/A</v>
      </c>
      <c r="H1309" s="210" t="str">
        <f>TEXT(A1309,"ddd")</f>
        <v>Sat</v>
      </c>
    </row>
    <row r="1310" spans="1:8" x14ac:dyDescent="0.25">
      <c r="A1310" s="13"/>
      <c r="B1310" s="14"/>
      <c r="C1310" s="39"/>
      <c r="D1310" s="39"/>
      <c r="E1310" s="36" t="str">
        <f>IF(SUM(C1310:D1310)=0," ",SUM(C1310:D1310))</f>
        <v xml:space="preserve"> </v>
      </c>
      <c r="F1310" s="14"/>
      <c r="G1310" s="120" t="e">
        <f>VLOOKUP($B1310,Information!$C$8:$F$15,4,FALSE)</f>
        <v>#N/A</v>
      </c>
      <c r="H1310" s="210" t="str">
        <f>TEXT(A1310,"ddd")</f>
        <v>Sat</v>
      </c>
    </row>
    <row r="1311" spans="1:8" x14ac:dyDescent="0.25">
      <c r="A1311" s="13"/>
      <c r="B1311" s="14"/>
      <c r="C1311" s="39"/>
      <c r="D1311" s="39"/>
      <c r="E1311" s="36" t="str">
        <f>IF(SUM(C1311:D1311)=0," ",SUM(C1311:D1311))</f>
        <v xml:space="preserve"> </v>
      </c>
      <c r="F1311" s="14"/>
      <c r="G1311" s="120" t="e">
        <f>VLOOKUP($B1311,Information!$C$8:$F$15,4,FALSE)</f>
        <v>#N/A</v>
      </c>
      <c r="H1311" s="210" t="str">
        <f>TEXT(A1311,"ddd")</f>
        <v>Sat</v>
      </c>
    </row>
    <row r="1312" spans="1:8" x14ac:dyDescent="0.25">
      <c r="A1312" s="13"/>
      <c r="B1312" s="14"/>
      <c r="C1312" s="39"/>
      <c r="D1312" s="39"/>
      <c r="E1312" s="36" t="str">
        <f>IF(SUM(C1312:D1312)=0," ",SUM(C1312:D1312))</f>
        <v xml:space="preserve"> </v>
      </c>
      <c r="F1312" s="14"/>
      <c r="G1312" s="120" t="e">
        <f>VLOOKUP($B1312,Information!$C$8:$F$15,4,FALSE)</f>
        <v>#N/A</v>
      </c>
      <c r="H1312" s="210" t="str">
        <f>TEXT(A1312,"ddd")</f>
        <v>Sat</v>
      </c>
    </row>
    <row r="1313" spans="1:8" x14ac:dyDescent="0.25">
      <c r="A1313" s="13"/>
      <c r="B1313" s="14"/>
      <c r="C1313" s="39"/>
      <c r="D1313" s="39"/>
      <c r="E1313" s="36" t="str">
        <f>IF(SUM(C1313:D1313)=0," ",SUM(C1313:D1313))</f>
        <v xml:space="preserve"> </v>
      </c>
      <c r="F1313" s="14"/>
      <c r="G1313" s="120" t="e">
        <f>VLOOKUP($B1313,Information!$C$8:$F$15,4,FALSE)</f>
        <v>#N/A</v>
      </c>
      <c r="H1313" s="210" t="str">
        <f>TEXT(A1313,"ddd")</f>
        <v>Sat</v>
      </c>
    </row>
    <row r="1314" spans="1:8" x14ac:dyDescent="0.25">
      <c r="A1314" s="13"/>
      <c r="B1314" s="14"/>
      <c r="C1314" s="39"/>
      <c r="D1314" s="39"/>
      <c r="E1314" s="36" t="str">
        <f>IF(SUM(C1314:D1314)=0," ",SUM(C1314:D1314))</f>
        <v xml:space="preserve"> </v>
      </c>
      <c r="F1314" s="14"/>
      <c r="G1314" s="120" t="e">
        <f>VLOOKUP($B1314,Information!$C$8:$F$15,4,FALSE)</f>
        <v>#N/A</v>
      </c>
      <c r="H1314" s="210" t="str">
        <f>TEXT(A1314,"ddd")</f>
        <v>Sat</v>
      </c>
    </row>
    <row r="1315" spans="1:8" x14ac:dyDescent="0.25">
      <c r="A1315" s="13"/>
      <c r="B1315" s="14"/>
      <c r="C1315" s="39"/>
      <c r="D1315" s="39"/>
      <c r="E1315" s="36" t="str">
        <f>IF(SUM(C1315:D1315)=0," ",SUM(C1315:D1315))</f>
        <v xml:space="preserve"> </v>
      </c>
      <c r="F1315" s="14"/>
      <c r="G1315" s="120" t="e">
        <f>VLOOKUP($B1315,Information!$C$8:$F$15,4,FALSE)</f>
        <v>#N/A</v>
      </c>
      <c r="H1315" s="210" t="str">
        <f>TEXT(A1315,"ddd")</f>
        <v>Sat</v>
      </c>
    </row>
    <row r="1316" spans="1:8" x14ac:dyDescent="0.25">
      <c r="A1316" s="13"/>
      <c r="B1316" s="14"/>
      <c r="C1316" s="39"/>
      <c r="D1316" s="39"/>
      <c r="E1316" s="36" t="str">
        <f>IF(SUM(C1316:D1316)=0," ",SUM(C1316:D1316))</f>
        <v xml:space="preserve"> </v>
      </c>
      <c r="F1316" s="14"/>
      <c r="G1316" s="120" t="e">
        <f>VLOOKUP($B1316,Information!$C$8:$F$15,4,FALSE)</f>
        <v>#N/A</v>
      </c>
      <c r="H1316" s="210" t="str">
        <f>TEXT(A1316,"ddd")</f>
        <v>Sat</v>
      </c>
    </row>
    <row r="1317" spans="1:8" x14ac:dyDescent="0.25">
      <c r="A1317" s="13"/>
      <c r="B1317" s="14"/>
      <c r="C1317" s="39"/>
      <c r="D1317" s="39"/>
      <c r="E1317" s="36" t="str">
        <f>IF(SUM(C1317:D1317)=0," ",SUM(C1317:D1317))</f>
        <v xml:space="preserve"> </v>
      </c>
      <c r="F1317" s="14"/>
      <c r="G1317" s="120" t="e">
        <f>VLOOKUP($B1317,Information!$C$8:$F$15,4,FALSE)</f>
        <v>#N/A</v>
      </c>
      <c r="H1317" s="210" t="str">
        <f>TEXT(A1317,"ddd")</f>
        <v>Sat</v>
      </c>
    </row>
    <row r="1318" spans="1:8" x14ac:dyDescent="0.25">
      <c r="A1318" s="13"/>
      <c r="B1318" s="14"/>
      <c r="C1318" s="39"/>
      <c r="D1318" s="39"/>
      <c r="E1318" s="36" t="str">
        <f>IF(SUM(C1318:D1318)=0," ",SUM(C1318:D1318))</f>
        <v xml:space="preserve"> </v>
      </c>
      <c r="F1318" s="14"/>
      <c r="G1318" s="120" t="e">
        <f>VLOOKUP($B1318,Information!$C$8:$F$15,4,FALSE)</f>
        <v>#N/A</v>
      </c>
      <c r="H1318" s="210" t="str">
        <f>TEXT(A1318,"ddd")</f>
        <v>Sat</v>
      </c>
    </row>
    <row r="1319" spans="1:8" x14ac:dyDescent="0.25">
      <c r="A1319" s="13"/>
      <c r="B1319" s="14"/>
      <c r="C1319" s="39"/>
      <c r="D1319" s="39"/>
      <c r="E1319" s="36" t="str">
        <f>IF(SUM(C1319:D1319)=0," ",SUM(C1319:D1319))</f>
        <v xml:space="preserve"> </v>
      </c>
      <c r="F1319" s="14"/>
      <c r="G1319" s="120" t="e">
        <f>VLOOKUP($B1319,Information!$C$8:$F$15,4,FALSE)</f>
        <v>#N/A</v>
      </c>
      <c r="H1319" s="210" t="str">
        <f>TEXT(A1319,"ddd")</f>
        <v>Sat</v>
      </c>
    </row>
    <row r="1320" spans="1:8" x14ac:dyDescent="0.25">
      <c r="A1320" s="13"/>
      <c r="B1320" s="14"/>
      <c r="C1320" s="39"/>
      <c r="D1320" s="39"/>
      <c r="E1320" s="36" t="str">
        <f>IF(SUM(C1320:D1320)=0," ",SUM(C1320:D1320))</f>
        <v xml:space="preserve"> </v>
      </c>
      <c r="F1320" s="14"/>
      <c r="G1320" s="120" t="e">
        <f>VLOOKUP($B1320,Information!$C$8:$F$15,4,FALSE)</f>
        <v>#N/A</v>
      </c>
      <c r="H1320" s="210" t="str">
        <f>TEXT(A1320,"ddd")</f>
        <v>Sat</v>
      </c>
    </row>
    <row r="1321" spans="1:8" x14ac:dyDescent="0.25">
      <c r="A1321" s="13"/>
      <c r="B1321" s="14"/>
      <c r="C1321" s="39"/>
      <c r="D1321" s="39"/>
      <c r="E1321" s="36" t="str">
        <f>IF(SUM(C1321:D1321)=0," ",SUM(C1321:D1321))</f>
        <v xml:space="preserve"> </v>
      </c>
      <c r="F1321" s="14"/>
      <c r="G1321" s="120" t="e">
        <f>VLOOKUP($B1321,Information!$C$8:$F$15,4,FALSE)</f>
        <v>#N/A</v>
      </c>
      <c r="H1321" s="210" t="str">
        <f>TEXT(A1321,"ddd")</f>
        <v>Sat</v>
      </c>
    </row>
    <row r="1322" spans="1:8" x14ac:dyDescent="0.25">
      <c r="A1322" s="13"/>
      <c r="B1322" s="14"/>
      <c r="C1322" s="39"/>
      <c r="D1322" s="39"/>
      <c r="E1322" s="36" t="str">
        <f>IF(SUM(C1322:D1322)=0," ",SUM(C1322:D1322))</f>
        <v xml:space="preserve"> </v>
      </c>
      <c r="F1322" s="14"/>
      <c r="G1322" s="120" t="e">
        <f>VLOOKUP($B1322,Information!$C$8:$F$15,4,FALSE)</f>
        <v>#N/A</v>
      </c>
      <c r="H1322" s="210" t="str">
        <f>TEXT(A1322,"ddd")</f>
        <v>Sat</v>
      </c>
    </row>
    <row r="1323" spans="1:8" x14ac:dyDescent="0.25">
      <c r="A1323" s="13"/>
      <c r="B1323" s="14"/>
      <c r="C1323" s="39"/>
      <c r="D1323" s="39"/>
      <c r="E1323" s="36" t="str">
        <f>IF(SUM(C1323:D1323)=0," ",SUM(C1323:D1323))</f>
        <v xml:space="preserve"> </v>
      </c>
      <c r="F1323" s="14"/>
      <c r="G1323" s="120" t="e">
        <f>VLOOKUP($B1323,Information!$C$8:$F$15,4,FALSE)</f>
        <v>#N/A</v>
      </c>
      <c r="H1323" s="210" t="str">
        <f>TEXT(A1323,"ddd")</f>
        <v>Sat</v>
      </c>
    </row>
    <row r="1324" spans="1:8" x14ac:dyDescent="0.25">
      <c r="A1324" s="13"/>
      <c r="B1324" s="14"/>
      <c r="C1324" s="39"/>
      <c r="D1324" s="39"/>
      <c r="E1324" s="36" t="str">
        <f>IF(SUM(C1324:D1324)=0," ",SUM(C1324:D1324))</f>
        <v xml:space="preserve"> </v>
      </c>
      <c r="F1324" s="14"/>
      <c r="G1324" s="120" t="e">
        <f>VLOOKUP($B1324,Information!$C$8:$F$15,4,FALSE)</f>
        <v>#N/A</v>
      </c>
      <c r="H1324" s="210" t="str">
        <f>TEXT(A1324,"ddd")</f>
        <v>Sat</v>
      </c>
    </row>
    <row r="1325" spans="1:8" x14ac:dyDescent="0.25">
      <c r="A1325" s="13"/>
      <c r="B1325" s="14"/>
      <c r="C1325" s="39"/>
      <c r="D1325" s="39"/>
      <c r="E1325" s="36" t="str">
        <f>IF(SUM(C1325:D1325)=0," ",SUM(C1325:D1325))</f>
        <v xml:space="preserve"> </v>
      </c>
      <c r="F1325" s="14"/>
      <c r="G1325" s="120" t="e">
        <f>VLOOKUP($B1325,Information!$C$8:$F$15,4,FALSE)</f>
        <v>#N/A</v>
      </c>
      <c r="H1325" s="210" t="str">
        <f>TEXT(A1325,"ddd")</f>
        <v>Sat</v>
      </c>
    </row>
    <row r="1326" spans="1:8" x14ac:dyDescent="0.25">
      <c r="A1326" s="13"/>
      <c r="B1326" s="14"/>
      <c r="C1326" s="39"/>
      <c r="D1326" s="39"/>
      <c r="E1326" s="36" t="str">
        <f>IF(SUM(C1326:D1326)=0," ",SUM(C1326:D1326))</f>
        <v xml:space="preserve"> </v>
      </c>
      <c r="F1326" s="14"/>
      <c r="G1326" s="120" t="e">
        <f>VLOOKUP($B1326,Information!$C$8:$F$15,4,FALSE)</f>
        <v>#N/A</v>
      </c>
      <c r="H1326" s="210" t="str">
        <f>TEXT(A1326,"ddd")</f>
        <v>Sat</v>
      </c>
    </row>
    <row r="1327" spans="1:8" x14ac:dyDescent="0.25">
      <c r="A1327" s="13"/>
      <c r="B1327" s="14"/>
      <c r="C1327" s="39"/>
      <c r="D1327" s="39"/>
      <c r="E1327" s="36" t="str">
        <f>IF(SUM(C1327:D1327)=0," ",SUM(C1327:D1327))</f>
        <v xml:space="preserve"> </v>
      </c>
      <c r="F1327" s="14"/>
      <c r="G1327" s="120" t="e">
        <f>VLOOKUP($B1327,Information!$C$8:$F$15,4,FALSE)</f>
        <v>#N/A</v>
      </c>
      <c r="H1327" s="210" t="str">
        <f>TEXT(A1327,"ddd")</f>
        <v>Sat</v>
      </c>
    </row>
    <row r="1328" spans="1:8" x14ac:dyDescent="0.25">
      <c r="A1328" s="13"/>
      <c r="B1328" s="14"/>
      <c r="C1328" s="39"/>
      <c r="D1328" s="39"/>
      <c r="E1328" s="36" t="str">
        <f>IF(SUM(C1328:D1328)=0," ",SUM(C1328:D1328))</f>
        <v xml:space="preserve"> </v>
      </c>
      <c r="F1328" s="14"/>
      <c r="G1328" s="120" t="e">
        <f>VLOOKUP($B1328,Information!$C$8:$F$15,4,FALSE)</f>
        <v>#N/A</v>
      </c>
      <c r="H1328" s="210" t="str">
        <f>TEXT(A1328,"ddd")</f>
        <v>Sat</v>
      </c>
    </row>
    <row r="1329" spans="1:8" x14ac:dyDescent="0.25">
      <c r="A1329" s="13"/>
      <c r="B1329" s="14"/>
      <c r="C1329" s="39"/>
      <c r="D1329" s="39"/>
      <c r="E1329" s="36" t="str">
        <f>IF(SUM(C1329:D1329)=0," ",SUM(C1329:D1329))</f>
        <v xml:space="preserve"> </v>
      </c>
      <c r="F1329" s="14"/>
      <c r="G1329" s="120" t="e">
        <f>VLOOKUP($B1329,Information!$C$8:$F$15,4,FALSE)</f>
        <v>#N/A</v>
      </c>
      <c r="H1329" s="210" t="str">
        <f>TEXT(A1329,"ddd")</f>
        <v>Sat</v>
      </c>
    </row>
    <row r="1330" spans="1:8" x14ac:dyDescent="0.25">
      <c r="A1330" s="13"/>
      <c r="B1330" s="14"/>
      <c r="C1330" s="39"/>
      <c r="D1330" s="39"/>
      <c r="E1330" s="36" t="str">
        <f>IF(SUM(C1330:D1330)=0," ",SUM(C1330:D1330))</f>
        <v xml:space="preserve"> </v>
      </c>
      <c r="F1330" s="14"/>
      <c r="G1330" s="120" t="e">
        <f>VLOOKUP($B1330,Information!$C$8:$F$15,4,FALSE)</f>
        <v>#N/A</v>
      </c>
      <c r="H1330" s="210" t="str">
        <f>TEXT(A1330,"ddd")</f>
        <v>Sat</v>
      </c>
    </row>
    <row r="1331" spans="1:8" x14ac:dyDescent="0.25">
      <c r="A1331" s="13"/>
      <c r="B1331" s="14"/>
      <c r="C1331" s="39"/>
      <c r="D1331" s="39"/>
      <c r="E1331" s="36" t="str">
        <f>IF(SUM(C1331:D1331)=0," ",SUM(C1331:D1331))</f>
        <v xml:space="preserve"> </v>
      </c>
      <c r="F1331" s="14"/>
      <c r="G1331" s="120" t="e">
        <f>VLOOKUP($B1331,Information!$C$8:$F$15,4,FALSE)</f>
        <v>#N/A</v>
      </c>
      <c r="H1331" s="210" t="str">
        <f>TEXT(A1331,"ddd")</f>
        <v>Sat</v>
      </c>
    </row>
    <row r="1332" spans="1:8" x14ac:dyDescent="0.25">
      <c r="A1332" s="13"/>
      <c r="B1332" s="14"/>
      <c r="C1332" s="39"/>
      <c r="D1332" s="39"/>
      <c r="E1332" s="36" t="str">
        <f>IF(SUM(C1332:D1332)=0," ",SUM(C1332:D1332))</f>
        <v xml:space="preserve"> </v>
      </c>
      <c r="F1332" s="14"/>
      <c r="G1332" s="120" t="e">
        <f>VLOOKUP($B1332,Information!$C$8:$F$15,4,FALSE)</f>
        <v>#N/A</v>
      </c>
      <c r="H1332" s="210" t="str">
        <f>TEXT(A1332,"ddd")</f>
        <v>Sat</v>
      </c>
    </row>
    <row r="1333" spans="1:8" x14ac:dyDescent="0.25">
      <c r="A1333" s="13"/>
      <c r="B1333" s="14"/>
      <c r="C1333" s="39"/>
      <c r="D1333" s="39"/>
      <c r="E1333" s="36" t="str">
        <f>IF(SUM(C1333:D1333)=0," ",SUM(C1333:D1333))</f>
        <v xml:space="preserve"> </v>
      </c>
      <c r="F1333" s="14"/>
      <c r="G1333" s="120" t="e">
        <f>VLOOKUP($B1333,Information!$C$8:$F$15,4,FALSE)</f>
        <v>#N/A</v>
      </c>
      <c r="H1333" s="210" t="str">
        <f>TEXT(A1333,"ddd")</f>
        <v>Sat</v>
      </c>
    </row>
    <row r="1334" spans="1:8" x14ac:dyDescent="0.25">
      <c r="A1334" s="13"/>
      <c r="B1334" s="14"/>
      <c r="C1334" s="39"/>
      <c r="D1334" s="39"/>
      <c r="E1334" s="36" t="str">
        <f>IF(SUM(C1334:D1334)=0," ",SUM(C1334:D1334))</f>
        <v xml:space="preserve"> </v>
      </c>
      <c r="F1334" s="14"/>
      <c r="G1334" s="120" t="e">
        <f>VLOOKUP($B1334,Information!$C$8:$F$15,4,FALSE)</f>
        <v>#N/A</v>
      </c>
      <c r="H1334" s="210" t="str">
        <f>TEXT(A1334,"ddd")</f>
        <v>Sat</v>
      </c>
    </row>
    <row r="1335" spans="1:8" x14ac:dyDescent="0.25">
      <c r="A1335" s="13"/>
      <c r="B1335" s="14"/>
      <c r="C1335" s="39"/>
      <c r="D1335" s="39"/>
      <c r="E1335" s="36" t="str">
        <f>IF(SUM(C1335:D1335)=0," ",SUM(C1335:D1335))</f>
        <v xml:space="preserve"> </v>
      </c>
      <c r="F1335" s="14"/>
      <c r="G1335" s="120" t="e">
        <f>VLOOKUP($B1335,Information!$C$8:$F$15,4,FALSE)</f>
        <v>#N/A</v>
      </c>
      <c r="H1335" s="210" t="str">
        <f>TEXT(A1335,"ddd")</f>
        <v>Sat</v>
      </c>
    </row>
    <row r="1336" spans="1:8" x14ac:dyDescent="0.25">
      <c r="A1336" s="13"/>
      <c r="B1336" s="14"/>
      <c r="C1336" s="39"/>
      <c r="D1336" s="39"/>
      <c r="E1336" s="36" t="str">
        <f>IF(SUM(C1336:D1336)=0," ",SUM(C1336:D1336))</f>
        <v xml:space="preserve"> </v>
      </c>
      <c r="F1336" s="14"/>
      <c r="G1336" s="120" t="e">
        <f>VLOOKUP($B1336,Information!$C$8:$F$15,4,FALSE)</f>
        <v>#N/A</v>
      </c>
      <c r="H1336" s="210" t="str">
        <f>TEXT(A1336,"ddd")</f>
        <v>Sat</v>
      </c>
    </row>
    <row r="1337" spans="1:8" x14ac:dyDescent="0.25">
      <c r="A1337" s="13"/>
      <c r="B1337" s="14"/>
      <c r="C1337" s="39"/>
      <c r="D1337" s="39"/>
      <c r="E1337" s="36" t="str">
        <f>IF(SUM(C1337:D1337)=0," ",SUM(C1337:D1337))</f>
        <v xml:space="preserve"> </v>
      </c>
      <c r="F1337" s="14"/>
      <c r="G1337" s="120" t="e">
        <f>VLOOKUP($B1337,Information!$C$8:$F$15,4,FALSE)</f>
        <v>#N/A</v>
      </c>
      <c r="H1337" s="210" t="str">
        <f>TEXT(A1337,"ddd")</f>
        <v>Sat</v>
      </c>
    </row>
    <row r="1338" spans="1:8" x14ac:dyDescent="0.25">
      <c r="A1338" s="13"/>
      <c r="B1338" s="14"/>
      <c r="C1338" s="39"/>
      <c r="D1338" s="39"/>
      <c r="E1338" s="36" t="str">
        <f>IF(SUM(C1338:D1338)=0," ",SUM(C1338:D1338))</f>
        <v xml:space="preserve"> </v>
      </c>
      <c r="F1338" s="14"/>
      <c r="G1338" s="120" t="e">
        <f>VLOOKUP($B1338,Information!$C$8:$F$15,4,FALSE)</f>
        <v>#N/A</v>
      </c>
      <c r="H1338" s="210" t="str">
        <f>TEXT(A1338,"ddd")</f>
        <v>Sat</v>
      </c>
    </row>
    <row r="1339" spans="1:8" x14ac:dyDescent="0.25">
      <c r="A1339" s="13"/>
      <c r="B1339" s="14"/>
      <c r="C1339" s="39"/>
      <c r="D1339" s="39"/>
      <c r="E1339" s="36" t="str">
        <f>IF(SUM(C1339:D1339)=0," ",SUM(C1339:D1339))</f>
        <v xml:space="preserve"> </v>
      </c>
      <c r="F1339" s="14"/>
      <c r="G1339" s="120" t="e">
        <f>VLOOKUP($B1339,Information!$C$8:$F$15,4,FALSE)</f>
        <v>#N/A</v>
      </c>
      <c r="H1339" s="210" t="str">
        <f>TEXT(A1339,"ddd")</f>
        <v>Sat</v>
      </c>
    </row>
    <row r="1340" spans="1:8" x14ac:dyDescent="0.25">
      <c r="A1340" s="13"/>
      <c r="B1340" s="14"/>
      <c r="C1340" s="39"/>
      <c r="D1340" s="39"/>
      <c r="E1340" s="36" t="str">
        <f>IF(SUM(C1340:D1340)=0," ",SUM(C1340:D1340))</f>
        <v xml:space="preserve"> </v>
      </c>
      <c r="F1340" s="14"/>
      <c r="G1340" s="120" t="e">
        <f>VLOOKUP($B1340,Information!$C$8:$F$15,4,FALSE)</f>
        <v>#N/A</v>
      </c>
      <c r="H1340" s="210" t="str">
        <f>TEXT(A1340,"ddd")</f>
        <v>Sat</v>
      </c>
    </row>
    <row r="1341" spans="1:8" x14ac:dyDescent="0.25">
      <c r="A1341" s="13"/>
      <c r="B1341" s="14"/>
      <c r="C1341" s="39"/>
      <c r="D1341" s="39"/>
      <c r="E1341" s="36" t="str">
        <f>IF(SUM(C1341:D1341)=0," ",SUM(C1341:D1341))</f>
        <v xml:space="preserve"> </v>
      </c>
      <c r="F1341" s="14"/>
      <c r="G1341" s="120" t="e">
        <f>VLOOKUP($B1341,Information!$C$8:$F$15,4,FALSE)</f>
        <v>#N/A</v>
      </c>
      <c r="H1341" s="210" t="str">
        <f>TEXT(A1341,"ddd")</f>
        <v>Sat</v>
      </c>
    </row>
    <row r="1342" spans="1:8" x14ac:dyDescent="0.25">
      <c r="A1342" s="13"/>
      <c r="B1342" s="14"/>
      <c r="C1342" s="39"/>
      <c r="D1342" s="39"/>
      <c r="E1342" s="36" t="str">
        <f>IF(SUM(C1342:D1342)=0," ",SUM(C1342:D1342))</f>
        <v xml:space="preserve"> </v>
      </c>
      <c r="F1342" s="14"/>
      <c r="G1342" s="120" t="e">
        <f>VLOOKUP($B1342,Information!$C$8:$F$15,4,FALSE)</f>
        <v>#N/A</v>
      </c>
      <c r="H1342" s="210" t="str">
        <f>TEXT(A1342,"ddd")</f>
        <v>Sat</v>
      </c>
    </row>
    <row r="1343" spans="1:8" x14ac:dyDescent="0.25">
      <c r="A1343" s="13"/>
      <c r="B1343" s="14"/>
      <c r="C1343" s="39"/>
      <c r="D1343" s="39"/>
      <c r="E1343" s="36" t="str">
        <f>IF(SUM(C1343:D1343)=0," ",SUM(C1343:D1343))</f>
        <v xml:space="preserve"> </v>
      </c>
      <c r="F1343" s="14"/>
      <c r="G1343" s="120" t="e">
        <f>VLOOKUP($B1343,Information!$C$8:$F$15,4,FALSE)</f>
        <v>#N/A</v>
      </c>
      <c r="H1343" s="210" t="str">
        <f>TEXT(A1343,"ddd")</f>
        <v>Sat</v>
      </c>
    </row>
    <row r="1344" spans="1:8" x14ac:dyDescent="0.25">
      <c r="A1344" s="13"/>
      <c r="B1344" s="14"/>
      <c r="C1344" s="39"/>
      <c r="D1344" s="39"/>
      <c r="E1344" s="36" t="str">
        <f>IF(SUM(C1344:D1344)=0," ",SUM(C1344:D1344))</f>
        <v xml:space="preserve"> </v>
      </c>
      <c r="F1344" s="14"/>
      <c r="G1344" s="120" t="e">
        <f>VLOOKUP($B1344,Information!$C$8:$F$15,4,FALSE)</f>
        <v>#N/A</v>
      </c>
      <c r="H1344" s="210" t="str">
        <f>TEXT(A1344,"ddd")</f>
        <v>Sat</v>
      </c>
    </row>
    <row r="1345" spans="1:8" x14ac:dyDescent="0.25">
      <c r="A1345" s="13"/>
      <c r="B1345" s="14"/>
      <c r="C1345" s="39"/>
      <c r="D1345" s="39"/>
      <c r="E1345" s="36" t="str">
        <f>IF(SUM(C1345:D1345)=0," ",SUM(C1345:D1345))</f>
        <v xml:space="preserve"> </v>
      </c>
      <c r="F1345" s="14"/>
      <c r="G1345" s="120" t="e">
        <f>VLOOKUP($B1345,Information!$C$8:$F$15,4,FALSE)</f>
        <v>#N/A</v>
      </c>
      <c r="H1345" s="210" t="str">
        <f>TEXT(A1345,"ddd")</f>
        <v>Sat</v>
      </c>
    </row>
    <row r="1346" spans="1:8" x14ac:dyDescent="0.25">
      <c r="A1346" s="13"/>
      <c r="B1346" s="14"/>
      <c r="C1346" s="39"/>
      <c r="D1346" s="39"/>
      <c r="E1346" s="36" t="str">
        <f>IF(SUM(C1346:D1346)=0," ",SUM(C1346:D1346))</f>
        <v xml:space="preserve"> </v>
      </c>
      <c r="F1346" s="14"/>
      <c r="G1346" s="120" t="e">
        <f>VLOOKUP($B1346,Information!$C$8:$F$15,4,FALSE)</f>
        <v>#N/A</v>
      </c>
      <c r="H1346" s="210" t="str">
        <f>TEXT(A1346,"ddd")</f>
        <v>Sat</v>
      </c>
    </row>
    <row r="1347" spans="1:8" x14ac:dyDescent="0.25">
      <c r="A1347" s="13"/>
      <c r="B1347" s="14"/>
      <c r="C1347" s="39"/>
      <c r="D1347" s="39"/>
      <c r="E1347" s="36" t="str">
        <f>IF(SUM(C1347:D1347)=0," ",SUM(C1347:D1347))</f>
        <v xml:space="preserve"> </v>
      </c>
      <c r="F1347" s="14"/>
      <c r="G1347" s="120" t="e">
        <f>VLOOKUP($B1347,Information!$C$8:$F$15,4,FALSE)</f>
        <v>#N/A</v>
      </c>
      <c r="H1347" s="210" t="str">
        <f>TEXT(A1347,"ddd")</f>
        <v>Sat</v>
      </c>
    </row>
    <row r="1348" spans="1:8" x14ac:dyDescent="0.25">
      <c r="A1348" s="13"/>
      <c r="B1348" s="14"/>
      <c r="C1348" s="39"/>
      <c r="D1348" s="39"/>
      <c r="E1348" s="36" t="str">
        <f>IF(SUM(C1348:D1348)=0," ",SUM(C1348:D1348))</f>
        <v xml:space="preserve"> </v>
      </c>
      <c r="F1348" s="14"/>
      <c r="G1348" s="120" t="e">
        <f>VLOOKUP($B1348,Information!$C$8:$F$15,4,FALSE)</f>
        <v>#N/A</v>
      </c>
      <c r="H1348" s="210" t="str">
        <f>TEXT(A1348,"ddd")</f>
        <v>Sat</v>
      </c>
    </row>
    <row r="1349" spans="1:8" x14ac:dyDescent="0.25">
      <c r="A1349" s="13"/>
      <c r="B1349" s="14"/>
      <c r="C1349" s="39"/>
      <c r="D1349" s="39"/>
      <c r="E1349" s="36" t="str">
        <f>IF(SUM(C1349:D1349)=0," ",SUM(C1349:D1349))</f>
        <v xml:space="preserve"> </v>
      </c>
      <c r="F1349" s="14"/>
      <c r="G1349" s="120" t="e">
        <f>VLOOKUP($B1349,Information!$C$8:$F$15,4,FALSE)</f>
        <v>#N/A</v>
      </c>
      <c r="H1349" s="210" t="str">
        <f>TEXT(A1349,"ddd")</f>
        <v>Sat</v>
      </c>
    </row>
    <row r="1350" spans="1:8" x14ac:dyDescent="0.25">
      <c r="A1350" s="13"/>
      <c r="B1350" s="14"/>
      <c r="C1350" s="39"/>
      <c r="D1350" s="39"/>
      <c r="E1350" s="36" t="str">
        <f>IF(SUM(C1350:D1350)=0," ",SUM(C1350:D1350))</f>
        <v xml:space="preserve"> </v>
      </c>
      <c r="F1350" s="14"/>
      <c r="G1350" s="120" t="e">
        <f>VLOOKUP($B1350,Information!$C$8:$F$15,4,FALSE)</f>
        <v>#N/A</v>
      </c>
      <c r="H1350" s="210" t="str">
        <f>TEXT(A1350,"ddd")</f>
        <v>Sat</v>
      </c>
    </row>
    <row r="1351" spans="1:8" x14ac:dyDescent="0.25">
      <c r="A1351" s="13"/>
      <c r="B1351" s="14"/>
      <c r="C1351" s="39"/>
      <c r="D1351" s="39"/>
      <c r="E1351" s="36" t="str">
        <f>IF(SUM(C1351:D1351)=0," ",SUM(C1351:D1351))</f>
        <v xml:space="preserve"> </v>
      </c>
      <c r="F1351" s="14"/>
      <c r="G1351" s="120" t="e">
        <f>VLOOKUP($B1351,Information!$C$8:$F$15,4,FALSE)</f>
        <v>#N/A</v>
      </c>
      <c r="H1351" s="210" t="str">
        <f>TEXT(A1351,"ddd")</f>
        <v>Sat</v>
      </c>
    </row>
    <row r="1352" spans="1:8" x14ac:dyDescent="0.25">
      <c r="A1352" s="13"/>
      <c r="B1352" s="14"/>
      <c r="C1352" s="39"/>
      <c r="D1352" s="39"/>
      <c r="E1352" s="36" t="str">
        <f>IF(SUM(C1352:D1352)=0," ",SUM(C1352:D1352))</f>
        <v xml:space="preserve"> </v>
      </c>
      <c r="F1352" s="14"/>
      <c r="G1352" s="120" t="e">
        <f>VLOOKUP($B1352,Information!$C$8:$F$15,4,FALSE)</f>
        <v>#N/A</v>
      </c>
      <c r="H1352" s="210" t="str">
        <f>TEXT(A1352,"ddd")</f>
        <v>Sat</v>
      </c>
    </row>
    <row r="1353" spans="1:8" x14ac:dyDescent="0.25">
      <c r="A1353" s="13"/>
      <c r="B1353" s="14"/>
      <c r="C1353" s="39"/>
      <c r="D1353" s="39"/>
      <c r="E1353" s="36" t="str">
        <f>IF(SUM(C1353:D1353)=0," ",SUM(C1353:D1353))</f>
        <v xml:space="preserve"> </v>
      </c>
      <c r="F1353" s="14"/>
      <c r="G1353" s="120" t="e">
        <f>VLOOKUP($B1353,Information!$C$8:$F$15,4,FALSE)</f>
        <v>#N/A</v>
      </c>
      <c r="H1353" s="210" t="str">
        <f>TEXT(A1353,"ddd")</f>
        <v>Sat</v>
      </c>
    </row>
    <row r="1354" spans="1:8" x14ac:dyDescent="0.25">
      <c r="A1354" s="13"/>
      <c r="B1354" s="14"/>
      <c r="C1354" s="39"/>
      <c r="D1354" s="39"/>
      <c r="E1354" s="36" t="str">
        <f>IF(SUM(C1354:D1354)=0," ",SUM(C1354:D1354))</f>
        <v xml:space="preserve"> </v>
      </c>
      <c r="F1354" s="14"/>
      <c r="G1354" s="120" t="e">
        <f>VLOOKUP($B1354,Information!$C$8:$F$15,4,FALSE)</f>
        <v>#N/A</v>
      </c>
      <c r="H1354" s="210" t="str">
        <f>TEXT(A1354,"ddd")</f>
        <v>Sat</v>
      </c>
    </row>
    <row r="1355" spans="1:8" x14ac:dyDescent="0.25">
      <c r="A1355" s="13"/>
      <c r="B1355" s="14"/>
      <c r="C1355" s="39"/>
      <c r="D1355" s="39"/>
      <c r="E1355" s="36" t="str">
        <f>IF(SUM(C1355:D1355)=0," ",SUM(C1355:D1355))</f>
        <v xml:space="preserve"> </v>
      </c>
      <c r="F1355" s="14"/>
      <c r="G1355" s="120" t="e">
        <f>VLOOKUP($B1355,Information!$C$8:$F$15,4,FALSE)</f>
        <v>#N/A</v>
      </c>
      <c r="H1355" s="210" t="str">
        <f>TEXT(A1355,"ddd")</f>
        <v>Sat</v>
      </c>
    </row>
    <row r="1356" spans="1:8" x14ac:dyDescent="0.25">
      <c r="A1356" s="13"/>
      <c r="B1356" s="14"/>
      <c r="C1356" s="39"/>
      <c r="D1356" s="39"/>
      <c r="E1356" s="36" t="str">
        <f>IF(SUM(C1356:D1356)=0," ",SUM(C1356:D1356))</f>
        <v xml:space="preserve"> </v>
      </c>
      <c r="F1356" s="14"/>
      <c r="G1356" s="120" t="e">
        <f>VLOOKUP($B1356,Information!$C$8:$F$15,4,FALSE)</f>
        <v>#N/A</v>
      </c>
      <c r="H1356" s="210" t="str">
        <f>TEXT(A1356,"ddd")</f>
        <v>Sat</v>
      </c>
    </row>
    <row r="1357" spans="1:8" x14ac:dyDescent="0.25">
      <c r="A1357" s="13"/>
      <c r="B1357" s="14"/>
      <c r="C1357" s="39"/>
      <c r="D1357" s="39"/>
      <c r="E1357" s="36" t="str">
        <f>IF(SUM(C1357:D1357)=0," ",SUM(C1357:D1357))</f>
        <v xml:space="preserve"> </v>
      </c>
      <c r="F1357" s="14"/>
      <c r="G1357" s="120" t="e">
        <f>VLOOKUP($B1357,Information!$C$8:$F$15,4,FALSE)</f>
        <v>#N/A</v>
      </c>
      <c r="H1357" s="210" t="str">
        <f>TEXT(A1357,"ddd")</f>
        <v>Sat</v>
      </c>
    </row>
    <row r="1358" spans="1:8" x14ac:dyDescent="0.25">
      <c r="A1358" s="13"/>
      <c r="B1358" s="14"/>
      <c r="C1358" s="39"/>
      <c r="D1358" s="39"/>
      <c r="E1358" s="36" t="str">
        <f>IF(SUM(C1358:D1358)=0," ",SUM(C1358:D1358))</f>
        <v xml:space="preserve"> </v>
      </c>
      <c r="F1358" s="14"/>
      <c r="G1358" s="120" t="e">
        <f>VLOOKUP($B1358,Information!$C$8:$F$15,4,FALSE)</f>
        <v>#N/A</v>
      </c>
      <c r="H1358" s="210" t="str">
        <f>TEXT(A1358,"ddd")</f>
        <v>Sat</v>
      </c>
    </row>
    <row r="1359" spans="1:8" x14ac:dyDescent="0.25">
      <c r="A1359" s="13"/>
      <c r="B1359" s="14"/>
      <c r="C1359" s="39"/>
      <c r="D1359" s="39"/>
      <c r="E1359" s="36" t="str">
        <f>IF(SUM(C1359:D1359)=0," ",SUM(C1359:D1359))</f>
        <v xml:space="preserve"> </v>
      </c>
      <c r="F1359" s="14"/>
      <c r="G1359" s="120" t="e">
        <f>VLOOKUP($B1359,Information!$C$8:$F$15,4,FALSE)</f>
        <v>#N/A</v>
      </c>
      <c r="H1359" s="210" t="str">
        <f>TEXT(A1359,"ddd")</f>
        <v>Sat</v>
      </c>
    </row>
    <row r="1360" spans="1:8" x14ac:dyDescent="0.25">
      <c r="A1360" s="13"/>
      <c r="B1360" s="14"/>
      <c r="C1360" s="39"/>
      <c r="D1360" s="39"/>
      <c r="E1360" s="36" t="str">
        <f>IF(SUM(C1360:D1360)=0," ",SUM(C1360:D1360))</f>
        <v xml:space="preserve"> </v>
      </c>
      <c r="F1360" s="14"/>
      <c r="G1360" s="120" t="e">
        <f>VLOOKUP($B1360,Information!$C$8:$F$15,4,FALSE)</f>
        <v>#N/A</v>
      </c>
      <c r="H1360" s="210" t="str">
        <f>TEXT(A1360,"ddd")</f>
        <v>Sat</v>
      </c>
    </row>
    <row r="1361" spans="1:8" x14ac:dyDescent="0.25">
      <c r="A1361" s="13"/>
      <c r="B1361" s="14"/>
      <c r="C1361" s="39"/>
      <c r="D1361" s="39"/>
      <c r="E1361" s="36" t="str">
        <f>IF(SUM(C1361:D1361)=0," ",SUM(C1361:D1361))</f>
        <v xml:space="preserve"> </v>
      </c>
      <c r="F1361" s="14"/>
      <c r="G1361" s="120" t="e">
        <f>VLOOKUP($B1361,Information!$C$8:$F$15,4,FALSE)</f>
        <v>#N/A</v>
      </c>
      <c r="H1361" s="210" t="str">
        <f>TEXT(A1361,"ddd")</f>
        <v>Sat</v>
      </c>
    </row>
    <row r="1362" spans="1:8" x14ac:dyDescent="0.25">
      <c r="A1362" s="13"/>
      <c r="B1362" s="14"/>
      <c r="C1362" s="39"/>
      <c r="D1362" s="39"/>
      <c r="E1362" s="36" t="str">
        <f>IF(SUM(C1362:D1362)=0," ",SUM(C1362:D1362))</f>
        <v xml:space="preserve"> </v>
      </c>
      <c r="F1362" s="14"/>
      <c r="G1362" s="120" t="e">
        <f>VLOOKUP($B1362,Information!$C$8:$F$15,4,FALSE)</f>
        <v>#N/A</v>
      </c>
      <c r="H1362" s="210" t="str">
        <f>TEXT(A1362,"ddd")</f>
        <v>Sat</v>
      </c>
    </row>
    <row r="1363" spans="1:8" x14ac:dyDescent="0.25">
      <c r="A1363" s="13"/>
      <c r="B1363" s="14"/>
      <c r="C1363" s="39"/>
      <c r="D1363" s="39"/>
      <c r="E1363" s="36" t="str">
        <f>IF(SUM(C1363:D1363)=0," ",SUM(C1363:D1363))</f>
        <v xml:space="preserve"> </v>
      </c>
      <c r="F1363" s="14"/>
      <c r="G1363" s="120" t="e">
        <f>VLOOKUP($B1363,Information!$C$8:$F$15,4,FALSE)</f>
        <v>#N/A</v>
      </c>
      <c r="H1363" s="210" t="str">
        <f>TEXT(A1363,"ddd")</f>
        <v>Sat</v>
      </c>
    </row>
    <row r="1364" spans="1:8" x14ac:dyDescent="0.25">
      <c r="A1364" s="13"/>
      <c r="B1364" s="14"/>
      <c r="C1364" s="39"/>
      <c r="D1364" s="39"/>
      <c r="E1364" s="36" t="str">
        <f>IF(SUM(C1364:D1364)=0," ",SUM(C1364:D1364))</f>
        <v xml:space="preserve"> </v>
      </c>
      <c r="F1364" s="14"/>
      <c r="G1364" s="120" t="e">
        <f>VLOOKUP($B1364,Information!$C$8:$F$15,4,FALSE)</f>
        <v>#N/A</v>
      </c>
      <c r="H1364" s="210" t="str">
        <f>TEXT(A1364,"ddd")</f>
        <v>Sat</v>
      </c>
    </row>
    <row r="1365" spans="1:8" x14ac:dyDescent="0.25">
      <c r="A1365" s="13"/>
      <c r="B1365" s="14"/>
      <c r="C1365" s="39"/>
      <c r="D1365" s="39"/>
      <c r="E1365" s="36" t="str">
        <f>IF(SUM(C1365:D1365)=0," ",SUM(C1365:D1365))</f>
        <v xml:space="preserve"> </v>
      </c>
      <c r="F1365" s="14"/>
      <c r="G1365" s="120" t="e">
        <f>VLOOKUP($B1365,Information!$C$8:$F$15,4,FALSE)</f>
        <v>#N/A</v>
      </c>
      <c r="H1365" s="210" t="str">
        <f>TEXT(A1365,"ddd")</f>
        <v>Sat</v>
      </c>
    </row>
    <row r="1366" spans="1:8" x14ac:dyDescent="0.25">
      <c r="A1366" s="13"/>
      <c r="B1366" s="14"/>
      <c r="C1366" s="39"/>
      <c r="D1366" s="39"/>
      <c r="E1366" s="36" t="str">
        <f>IF(SUM(C1366:D1366)=0," ",SUM(C1366:D1366))</f>
        <v xml:space="preserve"> </v>
      </c>
      <c r="F1366" s="14"/>
      <c r="G1366" s="120" t="e">
        <f>VLOOKUP($B1366,Information!$C$8:$F$15,4,FALSE)</f>
        <v>#N/A</v>
      </c>
      <c r="H1366" s="210" t="str">
        <f>TEXT(A1366,"ddd")</f>
        <v>Sat</v>
      </c>
    </row>
    <row r="1367" spans="1:8" x14ac:dyDescent="0.25">
      <c r="A1367" s="13"/>
      <c r="B1367" s="14"/>
      <c r="C1367" s="39"/>
      <c r="D1367" s="39"/>
      <c r="E1367" s="36" t="str">
        <f>IF(SUM(C1367:D1367)=0," ",SUM(C1367:D1367))</f>
        <v xml:space="preserve"> </v>
      </c>
      <c r="F1367" s="14"/>
      <c r="G1367" s="120" t="e">
        <f>VLOOKUP($B1367,Information!$C$8:$F$15,4,FALSE)</f>
        <v>#N/A</v>
      </c>
      <c r="H1367" s="210" t="str">
        <f>TEXT(A1367,"ddd")</f>
        <v>Sat</v>
      </c>
    </row>
    <row r="1368" spans="1:8" x14ac:dyDescent="0.25">
      <c r="A1368" s="13"/>
      <c r="B1368" s="14"/>
      <c r="C1368" s="39"/>
      <c r="D1368" s="39"/>
      <c r="E1368" s="36" t="str">
        <f>IF(SUM(C1368:D1368)=0," ",SUM(C1368:D1368))</f>
        <v xml:space="preserve"> </v>
      </c>
      <c r="F1368" s="14"/>
      <c r="G1368" s="120" t="e">
        <f>VLOOKUP($B1368,Information!$C$8:$F$15,4,FALSE)</f>
        <v>#N/A</v>
      </c>
      <c r="H1368" s="210" t="str">
        <f>TEXT(A1368,"ddd")</f>
        <v>Sat</v>
      </c>
    </row>
    <row r="1369" spans="1:8" x14ac:dyDescent="0.25">
      <c r="A1369" s="13"/>
      <c r="B1369" s="14"/>
      <c r="C1369" s="39"/>
      <c r="D1369" s="39"/>
      <c r="E1369" s="36" t="str">
        <f>IF(SUM(C1369:D1369)=0," ",SUM(C1369:D1369))</f>
        <v xml:space="preserve"> </v>
      </c>
      <c r="F1369" s="14"/>
      <c r="G1369" s="120" t="e">
        <f>VLOOKUP($B1369,Information!$C$8:$F$15,4,FALSE)</f>
        <v>#N/A</v>
      </c>
      <c r="H1369" s="210" t="str">
        <f>TEXT(A1369,"ddd")</f>
        <v>Sat</v>
      </c>
    </row>
    <row r="1370" spans="1:8" x14ac:dyDescent="0.25">
      <c r="A1370" s="13"/>
      <c r="B1370" s="14"/>
      <c r="C1370" s="39"/>
      <c r="D1370" s="39"/>
      <c r="E1370" s="36" t="str">
        <f>IF(SUM(C1370:D1370)=0," ",SUM(C1370:D1370))</f>
        <v xml:space="preserve"> </v>
      </c>
      <c r="F1370" s="14"/>
      <c r="G1370" s="120" t="e">
        <f>VLOOKUP($B1370,Information!$C$8:$F$15,4,FALSE)</f>
        <v>#N/A</v>
      </c>
      <c r="H1370" s="210" t="str">
        <f>TEXT(A1370,"ddd")</f>
        <v>Sat</v>
      </c>
    </row>
    <row r="1371" spans="1:8" x14ac:dyDescent="0.25">
      <c r="A1371" s="13"/>
      <c r="B1371" s="14"/>
      <c r="C1371" s="39"/>
      <c r="D1371" s="39"/>
      <c r="E1371" s="36" t="str">
        <f>IF(SUM(C1371:D1371)=0," ",SUM(C1371:D1371))</f>
        <v xml:space="preserve"> </v>
      </c>
      <c r="F1371" s="14"/>
      <c r="G1371" s="120" t="e">
        <f>VLOOKUP($B1371,Information!$C$8:$F$15,4,FALSE)</f>
        <v>#N/A</v>
      </c>
      <c r="H1371" s="210" t="str">
        <f>TEXT(A1371,"ddd")</f>
        <v>Sat</v>
      </c>
    </row>
    <row r="1372" spans="1:8" x14ac:dyDescent="0.25">
      <c r="A1372" s="13"/>
      <c r="B1372" s="14"/>
      <c r="C1372" s="39"/>
      <c r="D1372" s="39"/>
      <c r="E1372" s="36" t="str">
        <f>IF(SUM(C1372:D1372)=0," ",SUM(C1372:D1372))</f>
        <v xml:space="preserve"> </v>
      </c>
      <c r="F1372" s="14"/>
      <c r="G1372" s="120" t="e">
        <f>VLOOKUP($B1372,Information!$C$8:$F$15,4,FALSE)</f>
        <v>#N/A</v>
      </c>
      <c r="H1372" s="210" t="str">
        <f>TEXT(A1372,"ddd")</f>
        <v>Sat</v>
      </c>
    </row>
    <row r="1373" spans="1:8" x14ac:dyDescent="0.25">
      <c r="A1373" s="13"/>
      <c r="B1373" s="14"/>
      <c r="C1373" s="39"/>
      <c r="D1373" s="39"/>
      <c r="E1373" s="36" t="str">
        <f>IF(SUM(C1373:D1373)=0," ",SUM(C1373:D1373))</f>
        <v xml:space="preserve"> </v>
      </c>
      <c r="F1373" s="14"/>
      <c r="G1373" s="120" t="e">
        <f>VLOOKUP($B1373,Information!$C$8:$F$15,4,FALSE)</f>
        <v>#N/A</v>
      </c>
      <c r="H1373" s="210" t="str">
        <f>TEXT(A1373,"ddd")</f>
        <v>Sat</v>
      </c>
    </row>
    <row r="1374" spans="1:8" x14ac:dyDescent="0.25">
      <c r="A1374" s="13"/>
      <c r="B1374" s="14"/>
      <c r="C1374" s="39"/>
      <c r="D1374" s="39"/>
      <c r="E1374" s="36" t="str">
        <f>IF(SUM(C1374:D1374)=0," ",SUM(C1374:D1374))</f>
        <v xml:space="preserve"> </v>
      </c>
      <c r="F1374" s="14"/>
      <c r="G1374" s="120" t="e">
        <f>VLOOKUP($B1374,Information!$C$8:$F$15,4,FALSE)</f>
        <v>#N/A</v>
      </c>
      <c r="H1374" s="210" t="str">
        <f>TEXT(A1374,"ddd")</f>
        <v>Sat</v>
      </c>
    </row>
    <row r="1375" spans="1:8" x14ac:dyDescent="0.25">
      <c r="A1375" s="13"/>
      <c r="B1375" s="14"/>
      <c r="C1375" s="39"/>
      <c r="D1375" s="39"/>
      <c r="E1375" s="36" t="str">
        <f>IF(SUM(C1375:D1375)=0," ",SUM(C1375:D1375))</f>
        <v xml:space="preserve"> </v>
      </c>
      <c r="F1375" s="14"/>
      <c r="G1375" s="120" t="e">
        <f>VLOOKUP($B1375,Information!$C$8:$F$15,4,FALSE)</f>
        <v>#N/A</v>
      </c>
      <c r="H1375" s="210" t="str">
        <f>TEXT(A1375,"ddd")</f>
        <v>Sat</v>
      </c>
    </row>
    <row r="1376" spans="1:8" x14ac:dyDescent="0.25">
      <c r="A1376" s="13"/>
      <c r="B1376" s="14"/>
      <c r="C1376" s="39"/>
      <c r="D1376" s="39"/>
      <c r="E1376" s="36" t="str">
        <f>IF(SUM(C1376:D1376)=0," ",SUM(C1376:D1376))</f>
        <v xml:space="preserve"> </v>
      </c>
      <c r="F1376" s="14"/>
      <c r="G1376" s="120" t="e">
        <f>VLOOKUP($B1376,Information!$C$8:$F$15,4,FALSE)</f>
        <v>#N/A</v>
      </c>
      <c r="H1376" s="210" t="str">
        <f>TEXT(A1376,"ddd")</f>
        <v>Sat</v>
      </c>
    </row>
    <row r="1377" spans="1:8" x14ac:dyDescent="0.25">
      <c r="A1377" s="13"/>
      <c r="B1377" s="14"/>
      <c r="C1377" s="39"/>
      <c r="D1377" s="39"/>
      <c r="E1377" s="36" t="str">
        <f>IF(SUM(C1377:D1377)=0," ",SUM(C1377:D1377))</f>
        <v xml:space="preserve"> </v>
      </c>
      <c r="F1377" s="14"/>
      <c r="G1377" s="120" t="e">
        <f>VLOOKUP($B1377,Information!$C$8:$F$15,4,FALSE)</f>
        <v>#N/A</v>
      </c>
      <c r="H1377" s="210" t="str">
        <f>TEXT(A1377,"ddd")</f>
        <v>Sat</v>
      </c>
    </row>
    <row r="1378" spans="1:8" x14ac:dyDescent="0.25">
      <c r="A1378" s="13"/>
      <c r="B1378" s="14"/>
      <c r="C1378" s="39"/>
      <c r="D1378" s="39"/>
      <c r="E1378" s="36" t="str">
        <f>IF(SUM(C1378:D1378)=0," ",SUM(C1378:D1378))</f>
        <v xml:space="preserve"> </v>
      </c>
      <c r="F1378" s="14"/>
      <c r="G1378" s="120" t="e">
        <f>VLOOKUP($B1378,Information!$C$8:$F$15,4,FALSE)</f>
        <v>#N/A</v>
      </c>
      <c r="H1378" s="210" t="str">
        <f>TEXT(A1378,"ddd")</f>
        <v>Sat</v>
      </c>
    </row>
    <row r="1379" spans="1:8" x14ac:dyDescent="0.25">
      <c r="A1379" s="13"/>
      <c r="B1379" s="14"/>
      <c r="C1379" s="39"/>
      <c r="D1379" s="39"/>
      <c r="E1379" s="36" t="str">
        <f>IF(SUM(C1379:D1379)=0," ",SUM(C1379:D1379))</f>
        <v xml:space="preserve"> </v>
      </c>
      <c r="F1379" s="14"/>
      <c r="G1379" s="120" t="e">
        <f>VLOOKUP($B1379,Information!$C$8:$F$15,4,FALSE)</f>
        <v>#N/A</v>
      </c>
      <c r="H1379" s="210" t="str">
        <f>TEXT(A1379,"ddd")</f>
        <v>Sat</v>
      </c>
    </row>
    <row r="1380" spans="1:8" x14ac:dyDescent="0.25">
      <c r="A1380" s="13"/>
      <c r="B1380" s="14"/>
      <c r="C1380" s="39"/>
      <c r="D1380" s="39"/>
      <c r="E1380" s="36" t="str">
        <f>IF(SUM(C1380:D1380)=0," ",SUM(C1380:D1380))</f>
        <v xml:space="preserve"> </v>
      </c>
      <c r="F1380" s="14"/>
      <c r="G1380" s="120" t="e">
        <f>VLOOKUP($B1380,Information!$C$8:$F$15,4,FALSE)</f>
        <v>#N/A</v>
      </c>
      <c r="H1380" s="210" t="str">
        <f>TEXT(A1380,"ddd")</f>
        <v>Sat</v>
      </c>
    </row>
    <row r="1381" spans="1:8" x14ac:dyDescent="0.25">
      <c r="A1381" s="13"/>
      <c r="B1381" s="14"/>
      <c r="C1381" s="39"/>
      <c r="D1381" s="39"/>
      <c r="E1381" s="36" t="str">
        <f>IF(SUM(C1381:D1381)=0," ",SUM(C1381:D1381))</f>
        <v xml:space="preserve"> </v>
      </c>
      <c r="F1381" s="14"/>
      <c r="G1381" s="120" t="e">
        <f>VLOOKUP($B1381,Information!$C$8:$F$15,4,FALSE)</f>
        <v>#N/A</v>
      </c>
      <c r="H1381" s="210" t="str">
        <f>TEXT(A1381,"ddd")</f>
        <v>Sat</v>
      </c>
    </row>
    <row r="1382" spans="1:8" x14ac:dyDescent="0.25">
      <c r="A1382" s="13"/>
      <c r="B1382" s="14"/>
      <c r="C1382" s="39"/>
      <c r="D1382" s="39"/>
      <c r="E1382" s="36" t="str">
        <f>IF(SUM(C1382:D1382)=0," ",SUM(C1382:D1382))</f>
        <v xml:space="preserve"> </v>
      </c>
      <c r="F1382" s="14"/>
      <c r="G1382" s="120" t="e">
        <f>VLOOKUP($B1382,Information!$C$8:$F$15,4,FALSE)</f>
        <v>#N/A</v>
      </c>
      <c r="H1382" s="210" t="str">
        <f>TEXT(A1382,"ddd")</f>
        <v>Sat</v>
      </c>
    </row>
    <row r="1383" spans="1:8" x14ac:dyDescent="0.25">
      <c r="A1383" s="13"/>
      <c r="B1383" s="14"/>
      <c r="C1383" s="39"/>
      <c r="D1383" s="39"/>
      <c r="E1383" s="36" t="str">
        <f>IF(SUM(C1383:D1383)=0," ",SUM(C1383:D1383))</f>
        <v xml:space="preserve"> </v>
      </c>
      <c r="F1383" s="14"/>
      <c r="G1383" s="120" t="e">
        <f>VLOOKUP($B1383,Information!$C$8:$F$15,4,FALSE)</f>
        <v>#N/A</v>
      </c>
      <c r="H1383" s="210" t="str">
        <f>TEXT(A1383,"ddd")</f>
        <v>Sat</v>
      </c>
    </row>
    <row r="1384" spans="1:8" x14ac:dyDescent="0.25">
      <c r="A1384" s="13"/>
      <c r="B1384" s="14"/>
      <c r="C1384" s="39"/>
      <c r="D1384" s="39"/>
      <c r="E1384" s="36" t="str">
        <f>IF(SUM(C1384:D1384)=0," ",SUM(C1384:D1384))</f>
        <v xml:space="preserve"> </v>
      </c>
      <c r="F1384" s="14"/>
      <c r="G1384" s="120" t="e">
        <f>VLOOKUP($B1384,Information!$C$8:$F$15,4,FALSE)</f>
        <v>#N/A</v>
      </c>
      <c r="H1384" s="210" t="str">
        <f>TEXT(A1384,"ddd")</f>
        <v>Sat</v>
      </c>
    </row>
    <row r="1385" spans="1:8" x14ac:dyDescent="0.25">
      <c r="A1385" s="13"/>
      <c r="B1385" s="14"/>
      <c r="C1385" s="39"/>
      <c r="D1385" s="39"/>
      <c r="E1385" s="36" t="str">
        <f>IF(SUM(C1385:D1385)=0," ",SUM(C1385:D1385))</f>
        <v xml:space="preserve"> </v>
      </c>
      <c r="F1385" s="14"/>
      <c r="G1385" s="120" t="e">
        <f>VLOOKUP($B1385,Information!$C$8:$F$15,4,FALSE)</f>
        <v>#N/A</v>
      </c>
      <c r="H1385" s="210" t="str">
        <f>TEXT(A1385,"ddd")</f>
        <v>Sat</v>
      </c>
    </row>
    <row r="1386" spans="1:8" x14ac:dyDescent="0.25">
      <c r="A1386" s="13"/>
      <c r="B1386" s="14"/>
      <c r="C1386" s="39"/>
      <c r="D1386" s="39"/>
      <c r="E1386" s="36" t="str">
        <f>IF(SUM(C1386:D1386)=0," ",SUM(C1386:D1386))</f>
        <v xml:space="preserve"> </v>
      </c>
      <c r="F1386" s="14"/>
      <c r="G1386" s="120" t="e">
        <f>VLOOKUP($B1386,Information!$C$8:$F$15,4,FALSE)</f>
        <v>#N/A</v>
      </c>
      <c r="H1386" s="210" t="str">
        <f>TEXT(A1386,"ddd")</f>
        <v>Sat</v>
      </c>
    </row>
    <row r="1387" spans="1:8" x14ac:dyDescent="0.25">
      <c r="A1387" s="13"/>
      <c r="B1387" s="14"/>
      <c r="C1387" s="39"/>
      <c r="D1387" s="39"/>
      <c r="E1387" s="36" t="str">
        <f>IF(SUM(C1387:D1387)=0," ",SUM(C1387:D1387))</f>
        <v xml:space="preserve"> </v>
      </c>
      <c r="F1387" s="14"/>
      <c r="G1387" s="120" t="e">
        <f>VLOOKUP($B1387,Information!$C$8:$F$15,4,FALSE)</f>
        <v>#N/A</v>
      </c>
      <c r="H1387" s="210" t="str">
        <f>TEXT(A1387,"ddd")</f>
        <v>Sat</v>
      </c>
    </row>
    <row r="1388" spans="1:8" x14ac:dyDescent="0.25">
      <c r="A1388" s="13"/>
      <c r="B1388" s="14"/>
      <c r="C1388" s="39"/>
      <c r="D1388" s="39"/>
      <c r="E1388" s="36" t="str">
        <f>IF(SUM(C1388:D1388)=0," ",SUM(C1388:D1388))</f>
        <v xml:space="preserve"> </v>
      </c>
      <c r="F1388" s="14"/>
      <c r="G1388" s="120" t="e">
        <f>VLOOKUP($B1388,Information!$C$8:$F$15,4,FALSE)</f>
        <v>#N/A</v>
      </c>
      <c r="H1388" s="210" t="str">
        <f>TEXT(A1388,"ddd")</f>
        <v>Sat</v>
      </c>
    </row>
    <row r="1389" spans="1:8" x14ac:dyDescent="0.25">
      <c r="A1389" s="13"/>
      <c r="B1389" s="14"/>
      <c r="C1389" s="39"/>
      <c r="D1389" s="39"/>
      <c r="E1389" s="36" t="str">
        <f>IF(SUM(C1389:D1389)=0," ",SUM(C1389:D1389))</f>
        <v xml:space="preserve"> </v>
      </c>
      <c r="F1389" s="14"/>
      <c r="G1389" s="120" t="e">
        <f>VLOOKUP($B1389,Information!$C$8:$F$15,4,FALSE)</f>
        <v>#N/A</v>
      </c>
      <c r="H1389" s="210" t="str">
        <f>TEXT(A1389,"ddd")</f>
        <v>Sat</v>
      </c>
    </row>
    <row r="1390" spans="1:8" x14ac:dyDescent="0.25">
      <c r="A1390" s="13"/>
      <c r="B1390" s="14"/>
      <c r="C1390" s="39"/>
      <c r="D1390" s="39"/>
      <c r="E1390" s="36" t="str">
        <f>IF(SUM(C1390:D1390)=0," ",SUM(C1390:D1390))</f>
        <v xml:space="preserve"> </v>
      </c>
      <c r="F1390" s="14"/>
      <c r="G1390" s="120" t="e">
        <f>VLOOKUP($B1390,Information!$C$8:$F$15,4,FALSE)</f>
        <v>#N/A</v>
      </c>
      <c r="H1390" s="210" t="str">
        <f>TEXT(A1390,"ddd")</f>
        <v>Sat</v>
      </c>
    </row>
    <row r="1391" spans="1:8" x14ac:dyDescent="0.25">
      <c r="A1391" s="13"/>
      <c r="B1391" s="14"/>
      <c r="C1391" s="39"/>
      <c r="D1391" s="39"/>
      <c r="E1391" s="36" t="str">
        <f>IF(SUM(C1391:D1391)=0," ",SUM(C1391:D1391))</f>
        <v xml:space="preserve"> </v>
      </c>
      <c r="F1391" s="14"/>
      <c r="G1391" s="120" t="e">
        <f>VLOOKUP($B1391,Information!$C$8:$F$15,4,FALSE)</f>
        <v>#N/A</v>
      </c>
      <c r="H1391" s="210" t="str">
        <f>TEXT(A1391,"ddd")</f>
        <v>Sat</v>
      </c>
    </row>
    <row r="1392" spans="1:8" x14ac:dyDescent="0.25">
      <c r="A1392" s="13"/>
      <c r="B1392" s="14"/>
      <c r="C1392" s="39"/>
      <c r="D1392" s="39"/>
      <c r="E1392" s="36" t="str">
        <f>IF(SUM(C1392:D1392)=0," ",SUM(C1392:D1392))</f>
        <v xml:space="preserve"> </v>
      </c>
      <c r="F1392" s="14"/>
      <c r="G1392" s="120" t="e">
        <f>VLOOKUP($B1392,Information!$C$8:$F$15,4,FALSE)</f>
        <v>#N/A</v>
      </c>
      <c r="H1392" s="210" t="str">
        <f>TEXT(A1392,"ddd")</f>
        <v>Sat</v>
      </c>
    </row>
    <row r="1393" spans="1:8" x14ac:dyDescent="0.25">
      <c r="A1393" s="13"/>
      <c r="B1393" s="14"/>
      <c r="C1393" s="39"/>
      <c r="D1393" s="39"/>
      <c r="E1393" s="36" t="str">
        <f>IF(SUM(C1393:D1393)=0," ",SUM(C1393:D1393))</f>
        <v xml:space="preserve"> </v>
      </c>
      <c r="F1393" s="14"/>
      <c r="G1393" s="120" t="e">
        <f>VLOOKUP($B1393,Information!$C$8:$F$15,4,FALSE)</f>
        <v>#N/A</v>
      </c>
      <c r="H1393" s="210" t="str">
        <f>TEXT(A1393,"ddd")</f>
        <v>Sat</v>
      </c>
    </row>
    <row r="1394" spans="1:8" x14ac:dyDescent="0.25">
      <c r="A1394" s="13"/>
      <c r="B1394" s="14"/>
      <c r="C1394" s="39"/>
      <c r="D1394" s="39"/>
      <c r="E1394" s="36" t="str">
        <f>IF(SUM(C1394:D1394)=0," ",SUM(C1394:D1394))</f>
        <v xml:space="preserve"> </v>
      </c>
      <c r="F1394" s="14"/>
      <c r="G1394" s="120" t="e">
        <f>VLOOKUP($B1394,Information!$C$8:$F$15,4,FALSE)</f>
        <v>#N/A</v>
      </c>
      <c r="H1394" s="210" t="str">
        <f>TEXT(A1394,"ddd")</f>
        <v>Sat</v>
      </c>
    </row>
    <row r="1395" spans="1:8" x14ac:dyDescent="0.25">
      <c r="A1395" s="13"/>
      <c r="B1395" s="14"/>
      <c r="C1395" s="39"/>
      <c r="D1395" s="39"/>
      <c r="E1395" s="36" t="str">
        <f>IF(SUM(C1395:D1395)=0," ",SUM(C1395:D1395))</f>
        <v xml:space="preserve"> </v>
      </c>
      <c r="F1395" s="14"/>
      <c r="G1395" s="120" t="e">
        <f>VLOOKUP($B1395,Information!$C$8:$F$15,4,FALSE)</f>
        <v>#N/A</v>
      </c>
      <c r="H1395" s="210" t="str">
        <f>TEXT(A1395,"ddd")</f>
        <v>Sat</v>
      </c>
    </row>
    <row r="1396" spans="1:8" x14ac:dyDescent="0.25">
      <c r="A1396" s="13"/>
      <c r="B1396" s="14"/>
      <c r="C1396" s="39"/>
      <c r="D1396" s="39"/>
      <c r="E1396" s="36" t="str">
        <f>IF(SUM(C1396:D1396)=0," ",SUM(C1396:D1396))</f>
        <v xml:space="preserve"> </v>
      </c>
      <c r="F1396" s="14"/>
      <c r="G1396" s="120" t="e">
        <f>VLOOKUP($B1396,Information!$C$8:$F$15,4,FALSE)</f>
        <v>#N/A</v>
      </c>
      <c r="H1396" s="210" t="str">
        <f>TEXT(A1396,"ddd")</f>
        <v>Sat</v>
      </c>
    </row>
    <row r="1397" spans="1:8" x14ac:dyDescent="0.25">
      <c r="A1397" s="13"/>
      <c r="B1397" s="14"/>
      <c r="C1397" s="39"/>
      <c r="D1397" s="39"/>
      <c r="E1397" s="36" t="str">
        <f>IF(SUM(C1397:D1397)=0," ",SUM(C1397:D1397))</f>
        <v xml:space="preserve"> </v>
      </c>
      <c r="F1397" s="14"/>
      <c r="G1397" s="120" t="e">
        <f>VLOOKUP($B1397,Information!$C$8:$F$15,4,FALSE)</f>
        <v>#N/A</v>
      </c>
      <c r="H1397" s="210" t="str">
        <f>TEXT(A1397,"ddd")</f>
        <v>Sat</v>
      </c>
    </row>
    <row r="1398" spans="1:8" x14ac:dyDescent="0.25">
      <c r="A1398" s="13"/>
      <c r="B1398" s="14"/>
      <c r="C1398" s="39"/>
      <c r="D1398" s="39"/>
      <c r="E1398" s="36" t="str">
        <f>IF(SUM(C1398:D1398)=0," ",SUM(C1398:D1398))</f>
        <v xml:space="preserve"> </v>
      </c>
      <c r="F1398" s="14"/>
      <c r="G1398" s="120" t="e">
        <f>VLOOKUP($B1398,Information!$C$8:$F$15,4,FALSE)</f>
        <v>#N/A</v>
      </c>
      <c r="H1398" s="210" t="str">
        <f>TEXT(A1398,"ddd")</f>
        <v>Sat</v>
      </c>
    </row>
    <row r="1399" spans="1:8" x14ac:dyDescent="0.25">
      <c r="A1399" s="13"/>
      <c r="B1399" s="14"/>
      <c r="C1399" s="39"/>
      <c r="D1399" s="39"/>
      <c r="E1399" s="36" t="str">
        <f>IF(SUM(C1399:D1399)=0," ",SUM(C1399:D1399))</f>
        <v xml:space="preserve"> </v>
      </c>
      <c r="F1399" s="14"/>
      <c r="G1399" s="120" t="e">
        <f>VLOOKUP($B1399,Information!$C$8:$F$15,4,FALSE)</f>
        <v>#N/A</v>
      </c>
      <c r="H1399" s="210" t="str">
        <f>TEXT(A1399,"ddd")</f>
        <v>Sat</v>
      </c>
    </row>
    <row r="1400" spans="1:8" x14ac:dyDescent="0.25">
      <c r="A1400" s="13"/>
      <c r="B1400" s="14"/>
      <c r="C1400" s="39"/>
      <c r="D1400" s="39"/>
      <c r="E1400" s="36" t="str">
        <f>IF(SUM(C1400:D1400)=0," ",SUM(C1400:D1400))</f>
        <v xml:space="preserve"> </v>
      </c>
      <c r="F1400" s="14"/>
      <c r="G1400" s="120" t="e">
        <f>VLOOKUP($B1400,Information!$C$8:$F$15,4,FALSE)</f>
        <v>#N/A</v>
      </c>
      <c r="H1400" s="210" t="str">
        <f>TEXT(A1400,"ddd")</f>
        <v>Sat</v>
      </c>
    </row>
    <row r="1401" spans="1:8" x14ac:dyDescent="0.25">
      <c r="A1401" s="13"/>
      <c r="B1401" s="14"/>
      <c r="C1401" s="39"/>
      <c r="D1401" s="39"/>
      <c r="E1401" s="36" t="str">
        <f>IF(SUM(C1401:D1401)=0," ",SUM(C1401:D1401))</f>
        <v xml:space="preserve"> </v>
      </c>
      <c r="F1401" s="14"/>
      <c r="G1401" s="120" t="e">
        <f>VLOOKUP($B1401,Information!$C$8:$F$15,4,FALSE)</f>
        <v>#N/A</v>
      </c>
      <c r="H1401" s="210" t="str">
        <f>TEXT(A1401,"ddd")</f>
        <v>Sat</v>
      </c>
    </row>
    <row r="1402" spans="1:8" x14ac:dyDescent="0.25">
      <c r="A1402" s="13"/>
      <c r="B1402" s="14"/>
      <c r="C1402" s="39"/>
      <c r="D1402" s="39"/>
      <c r="E1402" s="36" t="str">
        <f>IF(SUM(C1402:D1402)=0," ",SUM(C1402:D1402))</f>
        <v xml:space="preserve"> </v>
      </c>
      <c r="F1402" s="14"/>
      <c r="G1402" s="120" t="e">
        <f>VLOOKUP($B1402,Information!$C$8:$F$15,4,FALSE)</f>
        <v>#N/A</v>
      </c>
      <c r="H1402" s="210" t="str">
        <f>TEXT(A1402,"ddd")</f>
        <v>Sat</v>
      </c>
    </row>
    <row r="1403" spans="1:8" x14ac:dyDescent="0.25">
      <c r="A1403" s="13"/>
      <c r="B1403" s="14"/>
      <c r="C1403" s="39"/>
      <c r="D1403" s="39"/>
      <c r="E1403" s="36" t="str">
        <f>IF(SUM(C1403:D1403)=0," ",SUM(C1403:D1403))</f>
        <v xml:space="preserve"> </v>
      </c>
      <c r="F1403" s="14"/>
      <c r="G1403" s="120" t="e">
        <f>VLOOKUP($B1403,Information!$C$8:$F$15,4,FALSE)</f>
        <v>#N/A</v>
      </c>
      <c r="H1403" s="210" t="str">
        <f>TEXT(A1403,"ddd")</f>
        <v>Sat</v>
      </c>
    </row>
    <row r="1404" spans="1:8" x14ac:dyDescent="0.25">
      <c r="A1404" s="13"/>
      <c r="B1404" s="14"/>
      <c r="C1404" s="39"/>
      <c r="D1404" s="39"/>
      <c r="E1404" s="36" t="str">
        <f>IF(SUM(C1404:D1404)=0," ",SUM(C1404:D1404))</f>
        <v xml:space="preserve"> </v>
      </c>
      <c r="F1404" s="14"/>
      <c r="G1404" s="120" t="e">
        <f>VLOOKUP($B1404,Information!$C$8:$F$15,4,FALSE)</f>
        <v>#N/A</v>
      </c>
      <c r="H1404" s="210" t="str">
        <f>TEXT(A1404,"ddd")</f>
        <v>Sat</v>
      </c>
    </row>
    <row r="1405" spans="1:8" x14ac:dyDescent="0.25">
      <c r="A1405" s="13"/>
      <c r="B1405" s="14"/>
      <c r="C1405" s="39"/>
      <c r="D1405" s="39"/>
      <c r="E1405" s="36" t="str">
        <f>IF(SUM(C1405:D1405)=0," ",SUM(C1405:D1405))</f>
        <v xml:space="preserve"> </v>
      </c>
      <c r="F1405" s="14"/>
      <c r="G1405" s="120" t="e">
        <f>VLOOKUP($B1405,Information!$C$8:$F$15,4,FALSE)</f>
        <v>#N/A</v>
      </c>
      <c r="H1405" s="210" t="str">
        <f>TEXT(A1405,"ddd")</f>
        <v>Sat</v>
      </c>
    </row>
    <row r="1406" spans="1:8" x14ac:dyDescent="0.25">
      <c r="A1406" s="13"/>
      <c r="B1406" s="14"/>
      <c r="C1406" s="39"/>
      <c r="D1406" s="39"/>
      <c r="E1406" s="36" t="str">
        <f>IF(SUM(C1406:D1406)=0," ",SUM(C1406:D1406))</f>
        <v xml:space="preserve"> </v>
      </c>
      <c r="F1406" s="14"/>
      <c r="G1406" s="120" t="e">
        <f>VLOOKUP($B1406,Information!$C$8:$F$15,4,FALSE)</f>
        <v>#N/A</v>
      </c>
      <c r="H1406" s="210" t="str">
        <f>TEXT(A1406,"ddd")</f>
        <v>Sat</v>
      </c>
    </row>
    <row r="1407" spans="1:8" x14ac:dyDescent="0.25">
      <c r="A1407" s="13"/>
      <c r="B1407" s="14"/>
      <c r="C1407" s="39"/>
      <c r="D1407" s="39"/>
      <c r="E1407" s="36" t="str">
        <f>IF(SUM(C1407:D1407)=0," ",SUM(C1407:D1407))</f>
        <v xml:space="preserve"> </v>
      </c>
      <c r="F1407" s="14"/>
      <c r="G1407" s="120" t="e">
        <f>VLOOKUP($B1407,Information!$C$8:$F$15,4,FALSE)</f>
        <v>#N/A</v>
      </c>
      <c r="H1407" s="210" t="str">
        <f>TEXT(A1407,"ddd")</f>
        <v>Sat</v>
      </c>
    </row>
    <row r="1408" spans="1:8" x14ac:dyDescent="0.25">
      <c r="A1408" s="13"/>
      <c r="B1408" s="14"/>
      <c r="C1408" s="39"/>
      <c r="D1408" s="39"/>
      <c r="E1408" s="36" t="str">
        <f>IF(SUM(C1408:D1408)=0," ",SUM(C1408:D1408))</f>
        <v xml:space="preserve"> </v>
      </c>
      <c r="F1408" s="14"/>
      <c r="G1408" s="120" t="e">
        <f>VLOOKUP($B1408,Information!$C$8:$F$15,4,FALSE)</f>
        <v>#N/A</v>
      </c>
      <c r="H1408" s="210" t="str">
        <f>TEXT(A1408,"ddd")</f>
        <v>Sat</v>
      </c>
    </row>
    <row r="1409" spans="1:8" x14ac:dyDescent="0.25">
      <c r="A1409" s="13"/>
      <c r="B1409" s="14"/>
      <c r="C1409" s="39"/>
      <c r="D1409" s="39"/>
      <c r="E1409" s="36" t="str">
        <f>IF(SUM(C1409:D1409)=0," ",SUM(C1409:D1409))</f>
        <v xml:space="preserve"> </v>
      </c>
      <c r="F1409" s="14"/>
      <c r="G1409" s="120" t="e">
        <f>VLOOKUP($B1409,Information!$C$8:$F$15,4,FALSE)</f>
        <v>#N/A</v>
      </c>
      <c r="H1409" s="210" t="str">
        <f>TEXT(A1409,"ddd")</f>
        <v>Sat</v>
      </c>
    </row>
    <row r="1410" spans="1:8" x14ac:dyDescent="0.25">
      <c r="A1410" s="13"/>
      <c r="B1410" s="14"/>
      <c r="C1410" s="39"/>
      <c r="D1410" s="39"/>
      <c r="E1410" s="36" t="str">
        <f>IF(SUM(C1410:D1410)=0," ",SUM(C1410:D1410))</f>
        <v xml:space="preserve"> </v>
      </c>
      <c r="F1410" s="14"/>
      <c r="G1410" s="120" t="e">
        <f>VLOOKUP($B1410,Information!$C$8:$F$15,4,FALSE)</f>
        <v>#N/A</v>
      </c>
      <c r="H1410" s="210" t="str">
        <f>TEXT(A1410,"ddd")</f>
        <v>Sat</v>
      </c>
    </row>
    <row r="1411" spans="1:8" x14ac:dyDescent="0.25">
      <c r="A1411" s="13"/>
      <c r="B1411" s="14"/>
      <c r="C1411" s="39"/>
      <c r="D1411" s="39"/>
      <c r="E1411" s="36" t="str">
        <f>IF(SUM(C1411:D1411)=0," ",SUM(C1411:D1411))</f>
        <v xml:space="preserve"> </v>
      </c>
      <c r="F1411" s="14"/>
      <c r="G1411" s="120" t="e">
        <f>VLOOKUP($B1411,Information!$C$8:$F$15,4,FALSE)</f>
        <v>#N/A</v>
      </c>
      <c r="H1411" s="210" t="str">
        <f>TEXT(A1411,"ddd")</f>
        <v>Sat</v>
      </c>
    </row>
    <row r="1412" spans="1:8" x14ac:dyDescent="0.25">
      <c r="A1412" s="13"/>
      <c r="B1412" s="14"/>
      <c r="C1412" s="39"/>
      <c r="D1412" s="39"/>
      <c r="E1412" s="36" t="str">
        <f>IF(SUM(C1412:D1412)=0," ",SUM(C1412:D1412))</f>
        <v xml:space="preserve"> </v>
      </c>
      <c r="F1412" s="14"/>
      <c r="G1412" s="120" t="e">
        <f>VLOOKUP($B1412,Information!$C$8:$F$15,4,FALSE)</f>
        <v>#N/A</v>
      </c>
      <c r="H1412" s="210" t="str">
        <f>TEXT(A1412,"ddd")</f>
        <v>Sat</v>
      </c>
    </row>
    <row r="1413" spans="1:8" x14ac:dyDescent="0.25">
      <c r="A1413" s="13"/>
      <c r="B1413" s="14"/>
      <c r="C1413" s="39"/>
      <c r="D1413" s="39"/>
      <c r="E1413" s="36" t="str">
        <f>IF(SUM(C1413:D1413)=0," ",SUM(C1413:D1413))</f>
        <v xml:space="preserve"> </v>
      </c>
      <c r="F1413" s="14"/>
      <c r="G1413" s="120" t="e">
        <f>VLOOKUP($B1413,Information!$C$8:$F$15,4,FALSE)</f>
        <v>#N/A</v>
      </c>
      <c r="H1413" s="210" t="str">
        <f>TEXT(A1413,"ddd")</f>
        <v>Sat</v>
      </c>
    </row>
    <row r="1414" spans="1:8" x14ac:dyDescent="0.25">
      <c r="A1414" s="13"/>
      <c r="B1414" s="14"/>
      <c r="C1414" s="39"/>
      <c r="D1414" s="39"/>
      <c r="E1414" s="36" t="str">
        <f>IF(SUM(C1414:D1414)=0," ",SUM(C1414:D1414))</f>
        <v xml:space="preserve"> </v>
      </c>
      <c r="F1414" s="14"/>
      <c r="G1414" s="120" t="e">
        <f>VLOOKUP($B1414,Information!$C$8:$F$15,4,FALSE)</f>
        <v>#N/A</v>
      </c>
      <c r="H1414" s="210" t="str">
        <f>TEXT(A1414,"ddd")</f>
        <v>Sat</v>
      </c>
    </row>
    <row r="1415" spans="1:8" x14ac:dyDescent="0.25">
      <c r="A1415" s="13"/>
      <c r="B1415" s="14"/>
      <c r="C1415" s="39"/>
      <c r="D1415" s="39"/>
      <c r="E1415" s="36" t="str">
        <f>IF(SUM(C1415:D1415)=0," ",SUM(C1415:D1415))</f>
        <v xml:space="preserve"> </v>
      </c>
      <c r="F1415" s="14"/>
      <c r="G1415" s="120" t="e">
        <f>VLOOKUP($B1415,Information!$C$8:$F$15,4,FALSE)</f>
        <v>#N/A</v>
      </c>
      <c r="H1415" s="210" t="str">
        <f>TEXT(A1415,"ddd")</f>
        <v>Sat</v>
      </c>
    </row>
    <row r="1416" spans="1:8" x14ac:dyDescent="0.25">
      <c r="A1416" s="13"/>
      <c r="B1416" s="14"/>
      <c r="C1416" s="39"/>
      <c r="D1416" s="39"/>
      <c r="E1416" s="36" t="str">
        <f>IF(SUM(C1416:D1416)=0," ",SUM(C1416:D1416))</f>
        <v xml:space="preserve"> </v>
      </c>
      <c r="F1416" s="14"/>
      <c r="G1416" s="120" t="e">
        <f>VLOOKUP($B1416,Information!$C$8:$F$15,4,FALSE)</f>
        <v>#N/A</v>
      </c>
      <c r="H1416" s="210" t="str">
        <f>TEXT(A1416,"ddd")</f>
        <v>Sat</v>
      </c>
    </row>
    <row r="1417" spans="1:8" x14ac:dyDescent="0.25">
      <c r="A1417" s="13"/>
      <c r="B1417" s="14"/>
      <c r="C1417" s="39"/>
      <c r="D1417" s="39"/>
      <c r="E1417" s="36" t="str">
        <f>IF(SUM(C1417:D1417)=0," ",SUM(C1417:D1417))</f>
        <v xml:space="preserve"> </v>
      </c>
      <c r="F1417" s="14"/>
      <c r="G1417" s="120" t="e">
        <f>VLOOKUP($B1417,Information!$C$8:$F$15,4,FALSE)</f>
        <v>#N/A</v>
      </c>
      <c r="H1417" s="210" t="str">
        <f>TEXT(A1417,"ddd")</f>
        <v>Sat</v>
      </c>
    </row>
    <row r="1418" spans="1:8" x14ac:dyDescent="0.25">
      <c r="A1418" s="13"/>
      <c r="B1418" s="14"/>
      <c r="C1418" s="39"/>
      <c r="D1418" s="39"/>
      <c r="E1418" s="36" t="str">
        <f>IF(SUM(C1418:D1418)=0," ",SUM(C1418:D1418))</f>
        <v xml:space="preserve"> </v>
      </c>
      <c r="F1418" s="14"/>
      <c r="G1418" s="120" t="e">
        <f>VLOOKUP($B1418,Information!$C$8:$F$15,4,FALSE)</f>
        <v>#N/A</v>
      </c>
      <c r="H1418" s="210" t="str">
        <f>TEXT(A1418,"ddd")</f>
        <v>Sat</v>
      </c>
    </row>
    <row r="1419" spans="1:8" x14ac:dyDescent="0.25">
      <c r="A1419" s="13"/>
      <c r="B1419" s="14"/>
      <c r="C1419" s="39"/>
      <c r="D1419" s="39"/>
      <c r="E1419" s="36" t="str">
        <f>IF(SUM(C1419:D1419)=0," ",SUM(C1419:D1419))</f>
        <v xml:space="preserve"> </v>
      </c>
      <c r="F1419" s="14"/>
      <c r="G1419" s="120" t="e">
        <f>VLOOKUP($B1419,Information!$C$8:$F$15,4,FALSE)</f>
        <v>#N/A</v>
      </c>
      <c r="H1419" s="210" t="str">
        <f>TEXT(A1419,"ddd")</f>
        <v>Sat</v>
      </c>
    </row>
    <row r="1420" spans="1:8" x14ac:dyDescent="0.25">
      <c r="A1420" s="13"/>
      <c r="B1420" s="14"/>
      <c r="C1420" s="39"/>
      <c r="D1420" s="39"/>
      <c r="E1420" s="36" t="str">
        <f>IF(SUM(C1420:D1420)=0," ",SUM(C1420:D1420))</f>
        <v xml:space="preserve"> </v>
      </c>
      <c r="F1420" s="14"/>
      <c r="G1420" s="120" t="e">
        <f>VLOOKUP($B1420,Information!$C$8:$F$15,4,FALSE)</f>
        <v>#N/A</v>
      </c>
      <c r="H1420" s="210" t="str">
        <f>TEXT(A1420,"ddd")</f>
        <v>Sat</v>
      </c>
    </row>
    <row r="1421" spans="1:8" x14ac:dyDescent="0.25">
      <c r="A1421" s="13"/>
      <c r="B1421" s="14"/>
      <c r="C1421" s="39"/>
      <c r="D1421" s="39"/>
      <c r="E1421" s="36" t="str">
        <f>IF(SUM(C1421:D1421)=0," ",SUM(C1421:D1421))</f>
        <v xml:space="preserve"> </v>
      </c>
      <c r="F1421" s="14"/>
      <c r="G1421" s="120" t="e">
        <f>VLOOKUP($B1421,Information!$C$8:$F$15,4,FALSE)</f>
        <v>#N/A</v>
      </c>
      <c r="H1421" s="210" t="str">
        <f>TEXT(A1421,"ddd")</f>
        <v>Sat</v>
      </c>
    </row>
    <row r="1422" spans="1:8" x14ac:dyDescent="0.25">
      <c r="A1422" s="13"/>
      <c r="B1422" s="14"/>
      <c r="C1422" s="39"/>
      <c r="D1422" s="39"/>
      <c r="E1422" s="36" t="str">
        <f>IF(SUM(C1422:D1422)=0," ",SUM(C1422:D1422))</f>
        <v xml:space="preserve"> </v>
      </c>
      <c r="F1422" s="14"/>
      <c r="G1422" s="120" t="e">
        <f>VLOOKUP($B1422,Information!$C$8:$F$15,4,FALSE)</f>
        <v>#N/A</v>
      </c>
      <c r="H1422" s="210" t="str">
        <f>TEXT(A1422,"ddd")</f>
        <v>Sat</v>
      </c>
    </row>
    <row r="1423" spans="1:8" x14ac:dyDescent="0.25">
      <c r="A1423" s="13"/>
      <c r="B1423" s="14"/>
      <c r="C1423" s="39"/>
      <c r="D1423" s="39"/>
      <c r="E1423" s="36" t="str">
        <f>IF(SUM(C1423:D1423)=0," ",SUM(C1423:D1423))</f>
        <v xml:space="preserve"> </v>
      </c>
      <c r="F1423" s="14"/>
      <c r="G1423" s="120" t="e">
        <f>VLOOKUP($B1423,Information!$C$8:$F$15,4,FALSE)</f>
        <v>#N/A</v>
      </c>
      <c r="H1423" s="210" t="str">
        <f>TEXT(A1423,"ddd")</f>
        <v>Sat</v>
      </c>
    </row>
    <row r="1424" spans="1:8" x14ac:dyDescent="0.25">
      <c r="A1424" s="13"/>
      <c r="B1424" s="14"/>
      <c r="C1424" s="39"/>
      <c r="D1424" s="39"/>
      <c r="E1424" s="36" t="str">
        <f>IF(SUM(C1424:D1424)=0," ",SUM(C1424:D1424))</f>
        <v xml:space="preserve"> </v>
      </c>
      <c r="F1424" s="14"/>
      <c r="G1424" s="120" t="e">
        <f>VLOOKUP($B1424,Information!$C$8:$F$15,4,FALSE)</f>
        <v>#N/A</v>
      </c>
      <c r="H1424" s="210" t="str">
        <f>TEXT(A1424,"ddd")</f>
        <v>Sat</v>
      </c>
    </row>
    <row r="1425" spans="1:8" x14ac:dyDescent="0.25">
      <c r="A1425" s="13"/>
      <c r="B1425" s="14"/>
      <c r="C1425" s="39"/>
      <c r="D1425" s="39"/>
      <c r="E1425" s="36" t="str">
        <f>IF(SUM(C1425:D1425)=0," ",SUM(C1425:D1425))</f>
        <v xml:space="preserve"> </v>
      </c>
      <c r="F1425" s="14"/>
      <c r="G1425" s="120" t="e">
        <f>VLOOKUP($B1425,Information!$C$8:$F$15,4,FALSE)</f>
        <v>#N/A</v>
      </c>
      <c r="H1425" s="210" t="str">
        <f>TEXT(A1425,"ddd")</f>
        <v>Sat</v>
      </c>
    </row>
    <row r="1426" spans="1:8" x14ac:dyDescent="0.25">
      <c r="A1426" s="13"/>
      <c r="B1426" s="14"/>
      <c r="C1426" s="39"/>
      <c r="D1426" s="39"/>
      <c r="E1426" s="36" t="str">
        <f>IF(SUM(C1426:D1426)=0," ",SUM(C1426:D1426))</f>
        <v xml:space="preserve"> </v>
      </c>
      <c r="F1426" s="14"/>
      <c r="G1426" s="120" t="e">
        <f>VLOOKUP($B1426,Information!$C$8:$F$15,4,FALSE)</f>
        <v>#N/A</v>
      </c>
      <c r="H1426" s="210" t="str">
        <f>TEXT(A1426,"ddd")</f>
        <v>Sat</v>
      </c>
    </row>
    <row r="1427" spans="1:8" x14ac:dyDescent="0.25">
      <c r="A1427" s="13"/>
      <c r="B1427" s="14"/>
      <c r="C1427" s="39"/>
      <c r="D1427" s="39"/>
      <c r="E1427" s="36" t="str">
        <f>IF(SUM(C1427:D1427)=0," ",SUM(C1427:D1427))</f>
        <v xml:space="preserve"> </v>
      </c>
      <c r="F1427" s="14"/>
      <c r="G1427" s="120" t="e">
        <f>VLOOKUP($B1427,Information!$C$8:$F$15,4,FALSE)</f>
        <v>#N/A</v>
      </c>
      <c r="H1427" s="210" t="str">
        <f>TEXT(A1427,"ddd")</f>
        <v>Sat</v>
      </c>
    </row>
    <row r="1428" spans="1:8" x14ac:dyDescent="0.25">
      <c r="A1428" s="13"/>
      <c r="B1428" s="14"/>
      <c r="C1428" s="39"/>
      <c r="D1428" s="39"/>
      <c r="E1428" s="36" t="str">
        <f>IF(SUM(C1428:D1428)=0," ",SUM(C1428:D1428))</f>
        <v xml:space="preserve"> </v>
      </c>
      <c r="F1428" s="14"/>
      <c r="G1428" s="120" t="e">
        <f>VLOOKUP($B1428,Information!$C$8:$F$15,4,FALSE)</f>
        <v>#N/A</v>
      </c>
      <c r="H1428" s="210" t="str">
        <f>TEXT(A1428,"ddd")</f>
        <v>Sat</v>
      </c>
    </row>
    <row r="1429" spans="1:8" x14ac:dyDescent="0.25">
      <c r="A1429" s="13"/>
      <c r="B1429" s="14"/>
      <c r="C1429" s="39"/>
      <c r="D1429" s="39"/>
      <c r="E1429" s="36" t="str">
        <f>IF(SUM(C1429:D1429)=0," ",SUM(C1429:D1429))</f>
        <v xml:space="preserve"> </v>
      </c>
      <c r="F1429" s="14"/>
      <c r="G1429" s="120" t="e">
        <f>VLOOKUP($B1429,Information!$C$8:$F$15,4,FALSE)</f>
        <v>#N/A</v>
      </c>
      <c r="H1429" s="210" t="str">
        <f>TEXT(A1429,"ddd")</f>
        <v>Sat</v>
      </c>
    </row>
    <row r="1430" spans="1:8" x14ac:dyDescent="0.25">
      <c r="A1430" s="13"/>
      <c r="B1430" s="14"/>
      <c r="C1430" s="39"/>
      <c r="D1430" s="39"/>
      <c r="E1430" s="36" t="str">
        <f>IF(SUM(C1430:D1430)=0," ",SUM(C1430:D1430))</f>
        <v xml:space="preserve"> </v>
      </c>
      <c r="F1430" s="14"/>
      <c r="G1430" s="120" t="e">
        <f>VLOOKUP($B1430,Information!$C$8:$F$15,4,FALSE)</f>
        <v>#N/A</v>
      </c>
      <c r="H1430" s="210" t="str">
        <f>TEXT(A1430,"ddd")</f>
        <v>Sat</v>
      </c>
    </row>
    <row r="1431" spans="1:8" x14ac:dyDescent="0.25">
      <c r="A1431" s="13"/>
      <c r="B1431" s="14"/>
      <c r="C1431" s="39"/>
      <c r="D1431" s="39"/>
      <c r="E1431" s="36" t="str">
        <f>IF(SUM(C1431:D1431)=0," ",SUM(C1431:D1431))</f>
        <v xml:space="preserve"> </v>
      </c>
      <c r="F1431" s="14"/>
      <c r="G1431" s="120" t="e">
        <f>VLOOKUP($B1431,Information!$C$8:$F$15,4,FALSE)</f>
        <v>#N/A</v>
      </c>
      <c r="H1431" s="210" t="str">
        <f>TEXT(A1431,"ddd")</f>
        <v>Sat</v>
      </c>
    </row>
    <row r="1432" spans="1:8" x14ac:dyDescent="0.25">
      <c r="A1432" s="13"/>
      <c r="B1432" s="14"/>
      <c r="C1432" s="39"/>
      <c r="D1432" s="39"/>
      <c r="E1432" s="36" t="str">
        <f>IF(SUM(C1432:D1432)=0," ",SUM(C1432:D1432))</f>
        <v xml:space="preserve"> </v>
      </c>
      <c r="F1432" s="14"/>
      <c r="G1432" s="120" t="e">
        <f>VLOOKUP($B1432,Information!$C$8:$F$15,4,FALSE)</f>
        <v>#N/A</v>
      </c>
      <c r="H1432" s="210" t="str">
        <f>TEXT(A1432,"ddd")</f>
        <v>Sat</v>
      </c>
    </row>
    <row r="1433" spans="1:8" x14ac:dyDescent="0.25">
      <c r="A1433" s="13"/>
      <c r="B1433" s="14"/>
      <c r="C1433" s="39"/>
      <c r="D1433" s="39"/>
      <c r="E1433" s="36" t="str">
        <f>IF(SUM(C1433:D1433)=0," ",SUM(C1433:D1433))</f>
        <v xml:space="preserve"> </v>
      </c>
      <c r="F1433" s="14"/>
      <c r="G1433" s="120" t="e">
        <f>VLOOKUP($B1433,Information!$C$8:$F$15,4,FALSE)</f>
        <v>#N/A</v>
      </c>
      <c r="H1433" s="210" t="str">
        <f>TEXT(A1433,"ddd")</f>
        <v>Sat</v>
      </c>
    </row>
    <row r="1434" spans="1:8" x14ac:dyDescent="0.25">
      <c r="A1434" s="13"/>
      <c r="B1434" s="14"/>
      <c r="C1434" s="39"/>
      <c r="D1434" s="39"/>
      <c r="E1434" s="36" t="str">
        <f>IF(SUM(C1434:D1434)=0," ",SUM(C1434:D1434))</f>
        <v xml:space="preserve"> </v>
      </c>
      <c r="F1434" s="14"/>
      <c r="G1434" s="120" t="e">
        <f>VLOOKUP($B1434,Information!$C$8:$F$15,4,FALSE)</f>
        <v>#N/A</v>
      </c>
      <c r="H1434" s="210" t="str">
        <f>TEXT(A1434,"ddd")</f>
        <v>Sat</v>
      </c>
    </row>
    <row r="1435" spans="1:8" x14ac:dyDescent="0.25">
      <c r="A1435" s="13"/>
      <c r="B1435" s="14"/>
      <c r="C1435" s="39"/>
      <c r="D1435" s="39"/>
      <c r="E1435" s="36" t="str">
        <f>IF(SUM(C1435:D1435)=0," ",SUM(C1435:D1435))</f>
        <v xml:space="preserve"> </v>
      </c>
      <c r="F1435" s="14"/>
      <c r="G1435" s="120" t="e">
        <f>VLOOKUP($B1435,Information!$C$8:$F$15,4,FALSE)</f>
        <v>#N/A</v>
      </c>
      <c r="H1435" s="210" t="str">
        <f>TEXT(A1435,"ddd")</f>
        <v>Sat</v>
      </c>
    </row>
    <row r="1436" spans="1:8" x14ac:dyDescent="0.25">
      <c r="A1436" s="13"/>
      <c r="B1436" s="14"/>
      <c r="C1436" s="39"/>
      <c r="D1436" s="39"/>
      <c r="E1436" s="36" t="str">
        <f>IF(SUM(C1436:D1436)=0," ",SUM(C1436:D1436))</f>
        <v xml:space="preserve"> </v>
      </c>
      <c r="F1436" s="14"/>
      <c r="G1436" s="120" t="e">
        <f>VLOOKUP($B1436,Information!$C$8:$F$15,4,FALSE)</f>
        <v>#N/A</v>
      </c>
      <c r="H1436" s="210" t="str">
        <f>TEXT(A1436,"ddd")</f>
        <v>Sat</v>
      </c>
    </row>
    <row r="1437" spans="1:8" x14ac:dyDescent="0.25">
      <c r="A1437" s="13"/>
      <c r="B1437" s="14"/>
      <c r="C1437" s="39"/>
      <c r="D1437" s="39"/>
      <c r="E1437" s="36" t="str">
        <f>IF(SUM(C1437:D1437)=0," ",SUM(C1437:D1437))</f>
        <v xml:space="preserve"> </v>
      </c>
      <c r="F1437" s="14"/>
      <c r="G1437" s="120" t="e">
        <f>VLOOKUP($B1437,Information!$C$8:$F$15,4,FALSE)</f>
        <v>#N/A</v>
      </c>
      <c r="H1437" s="210" t="str">
        <f>TEXT(A1437,"ddd")</f>
        <v>Sat</v>
      </c>
    </row>
    <row r="1438" spans="1:8" x14ac:dyDescent="0.25">
      <c r="A1438" s="13"/>
      <c r="B1438" s="14"/>
      <c r="C1438" s="39"/>
      <c r="D1438" s="39"/>
      <c r="E1438" s="36" t="str">
        <f>IF(SUM(C1438:D1438)=0," ",SUM(C1438:D1438))</f>
        <v xml:space="preserve"> </v>
      </c>
      <c r="F1438" s="14"/>
      <c r="G1438" s="120" t="e">
        <f>VLOOKUP($B1438,Information!$C$8:$F$15,4,FALSE)</f>
        <v>#N/A</v>
      </c>
      <c r="H1438" s="210" t="str">
        <f>TEXT(A1438,"ddd")</f>
        <v>Sat</v>
      </c>
    </row>
    <row r="1439" spans="1:8" x14ac:dyDescent="0.25">
      <c r="A1439" s="13"/>
      <c r="B1439" s="14"/>
      <c r="C1439" s="39"/>
      <c r="D1439" s="39"/>
      <c r="E1439" s="36" t="str">
        <f>IF(SUM(C1439:D1439)=0," ",SUM(C1439:D1439))</f>
        <v xml:space="preserve"> </v>
      </c>
      <c r="F1439" s="14"/>
      <c r="G1439" s="120" t="e">
        <f>VLOOKUP($B1439,Information!$C$8:$F$15,4,FALSE)</f>
        <v>#N/A</v>
      </c>
      <c r="H1439" s="210" t="str">
        <f>TEXT(A1439,"ddd")</f>
        <v>Sat</v>
      </c>
    </row>
    <row r="1440" spans="1:8" x14ac:dyDescent="0.25">
      <c r="A1440" s="13"/>
      <c r="B1440" s="14"/>
      <c r="C1440" s="39"/>
      <c r="D1440" s="39"/>
      <c r="E1440" s="36" t="str">
        <f>IF(SUM(C1440:D1440)=0," ",SUM(C1440:D1440))</f>
        <v xml:space="preserve"> </v>
      </c>
      <c r="F1440" s="14"/>
      <c r="G1440" s="120" t="e">
        <f>VLOOKUP($B1440,Information!$C$8:$F$15,4,FALSE)</f>
        <v>#N/A</v>
      </c>
      <c r="H1440" s="210" t="str">
        <f>TEXT(A1440,"ddd")</f>
        <v>Sat</v>
      </c>
    </row>
    <row r="1441" spans="1:8" x14ac:dyDescent="0.25">
      <c r="A1441" s="13"/>
      <c r="B1441" s="14"/>
      <c r="C1441" s="39"/>
      <c r="D1441" s="39"/>
      <c r="E1441" s="36" t="str">
        <f>IF(SUM(C1441:D1441)=0," ",SUM(C1441:D1441))</f>
        <v xml:space="preserve"> </v>
      </c>
      <c r="F1441" s="14"/>
      <c r="G1441" s="120" t="e">
        <f>VLOOKUP($B1441,Information!$C$8:$F$15,4,FALSE)</f>
        <v>#N/A</v>
      </c>
      <c r="H1441" s="210" t="str">
        <f>TEXT(A1441,"ddd")</f>
        <v>Sat</v>
      </c>
    </row>
    <row r="1442" spans="1:8" x14ac:dyDescent="0.25">
      <c r="A1442" s="13"/>
      <c r="B1442" s="14"/>
      <c r="C1442" s="39"/>
      <c r="D1442" s="39"/>
      <c r="E1442" s="36" t="str">
        <f>IF(SUM(C1442:D1442)=0," ",SUM(C1442:D1442))</f>
        <v xml:space="preserve"> </v>
      </c>
      <c r="F1442" s="14"/>
      <c r="G1442" s="120" t="e">
        <f>VLOOKUP($B1442,Information!$C$8:$F$15,4,FALSE)</f>
        <v>#N/A</v>
      </c>
      <c r="H1442" s="210" t="str">
        <f>TEXT(A1442,"ddd")</f>
        <v>Sat</v>
      </c>
    </row>
    <row r="1443" spans="1:8" x14ac:dyDescent="0.25">
      <c r="A1443" s="13"/>
      <c r="B1443" s="14"/>
      <c r="C1443" s="39"/>
      <c r="D1443" s="39"/>
      <c r="E1443" s="36" t="str">
        <f>IF(SUM(C1443:D1443)=0," ",SUM(C1443:D1443))</f>
        <v xml:space="preserve"> </v>
      </c>
      <c r="F1443" s="14"/>
      <c r="G1443" s="120" t="e">
        <f>VLOOKUP($B1443,Information!$C$8:$F$15,4,FALSE)</f>
        <v>#N/A</v>
      </c>
      <c r="H1443" s="210" t="str">
        <f>TEXT(A1443,"ddd")</f>
        <v>Sat</v>
      </c>
    </row>
    <row r="1444" spans="1:8" x14ac:dyDescent="0.25">
      <c r="A1444" s="13"/>
      <c r="B1444" s="14"/>
      <c r="C1444" s="39"/>
      <c r="D1444" s="39"/>
      <c r="E1444" s="36" t="str">
        <f>IF(SUM(C1444:D1444)=0," ",SUM(C1444:D1444))</f>
        <v xml:space="preserve"> </v>
      </c>
      <c r="F1444" s="14"/>
      <c r="G1444" s="120" t="e">
        <f>VLOOKUP($B1444,Information!$C$8:$F$15,4,FALSE)</f>
        <v>#N/A</v>
      </c>
      <c r="H1444" s="210" t="str">
        <f>TEXT(A1444,"ddd")</f>
        <v>Sat</v>
      </c>
    </row>
    <row r="1445" spans="1:8" x14ac:dyDescent="0.25">
      <c r="A1445" s="13"/>
      <c r="B1445" s="14"/>
      <c r="C1445" s="39"/>
      <c r="D1445" s="39"/>
      <c r="E1445" s="36" t="str">
        <f>IF(SUM(C1445:D1445)=0," ",SUM(C1445:D1445))</f>
        <v xml:space="preserve"> </v>
      </c>
      <c r="F1445" s="14"/>
      <c r="G1445" s="120" t="e">
        <f>VLOOKUP($B1445,Information!$C$8:$F$15,4,FALSE)</f>
        <v>#N/A</v>
      </c>
      <c r="H1445" s="210" t="str">
        <f>TEXT(A1445,"ddd")</f>
        <v>Sat</v>
      </c>
    </row>
    <row r="1446" spans="1:8" x14ac:dyDescent="0.25">
      <c r="A1446" s="13"/>
      <c r="B1446" s="14"/>
      <c r="C1446" s="39"/>
      <c r="D1446" s="39"/>
      <c r="E1446" s="36" t="str">
        <f>IF(SUM(C1446:D1446)=0," ",SUM(C1446:D1446))</f>
        <v xml:space="preserve"> </v>
      </c>
      <c r="F1446" s="14"/>
      <c r="G1446" s="120" t="e">
        <f>VLOOKUP($B1446,Information!$C$8:$F$15,4,FALSE)</f>
        <v>#N/A</v>
      </c>
      <c r="H1446" s="210" t="str">
        <f>TEXT(A1446,"ddd")</f>
        <v>Sat</v>
      </c>
    </row>
    <row r="1447" spans="1:8" x14ac:dyDescent="0.25">
      <c r="A1447" s="13"/>
      <c r="B1447" s="14"/>
      <c r="C1447" s="39"/>
      <c r="D1447" s="39"/>
      <c r="E1447" s="36" t="str">
        <f>IF(SUM(C1447:D1447)=0," ",SUM(C1447:D1447))</f>
        <v xml:space="preserve"> </v>
      </c>
      <c r="F1447" s="14"/>
      <c r="G1447" s="120" t="e">
        <f>VLOOKUP($B1447,Information!$C$8:$F$15,4,FALSE)</f>
        <v>#N/A</v>
      </c>
      <c r="H1447" s="210" t="str">
        <f>TEXT(A1447,"ddd")</f>
        <v>Sat</v>
      </c>
    </row>
    <row r="1448" spans="1:8" x14ac:dyDescent="0.25">
      <c r="A1448" s="13"/>
      <c r="B1448" s="14"/>
      <c r="C1448" s="39"/>
      <c r="D1448" s="39"/>
      <c r="E1448" s="36" t="str">
        <f>IF(SUM(C1448:D1448)=0," ",SUM(C1448:D1448))</f>
        <v xml:space="preserve"> </v>
      </c>
      <c r="F1448" s="14"/>
      <c r="G1448" s="120" t="e">
        <f>VLOOKUP($B1448,Information!$C$8:$F$15,4,FALSE)</f>
        <v>#N/A</v>
      </c>
      <c r="H1448" s="210" t="str">
        <f>TEXT(A1448,"ddd")</f>
        <v>Sat</v>
      </c>
    </row>
    <row r="1449" spans="1:8" x14ac:dyDescent="0.25">
      <c r="A1449" s="13"/>
      <c r="B1449" s="14"/>
      <c r="C1449" s="39"/>
      <c r="D1449" s="39"/>
      <c r="E1449" s="36" t="str">
        <f>IF(SUM(C1449:D1449)=0," ",SUM(C1449:D1449))</f>
        <v xml:space="preserve"> </v>
      </c>
      <c r="F1449" s="14"/>
      <c r="G1449" s="120" t="e">
        <f>VLOOKUP($B1449,Information!$C$8:$F$15,4,FALSE)</f>
        <v>#N/A</v>
      </c>
      <c r="H1449" s="210" t="str">
        <f>TEXT(A1449,"ddd")</f>
        <v>Sat</v>
      </c>
    </row>
    <row r="1450" spans="1:8" x14ac:dyDescent="0.25">
      <c r="A1450" s="13"/>
      <c r="B1450" s="14"/>
      <c r="C1450" s="39"/>
      <c r="D1450" s="39"/>
      <c r="E1450" s="36" t="str">
        <f>IF(SUM(C1450:D1450)=0," ",SUM(C1450:D1450))</f>
        <v xml:space="preserve"> </v>
      </c>
      <c r="F1450" s="14"/>
      <c r="G1450" s="120" t="e">
        <f>VLOOKUP($B1450,Information!$C$8:$F$15,4,FALSE)</f>
        <v>#N/A</v>
      </c>
      <c r="H1450" s="210" t="str">
        <f>TEXT(A1450,"ddd")</f>
        <v>Sat</v>
      </c>
    </row>
    <row r="1451" spans="1:8" x14ac:dyDescent="0.25">
      <c r="A1451" s="13"/>
      <c r="B1451" s="14"/>
      <c r="C1451" s="39"/>
      <c r="D1451" s="39"/>
      <c r="E1451" s="36" t="str">
        <f>IF(SUM(C1451:D1451)=0," ",SUM(C1451:D1451))</f>
        <v xml:space="preserve"> </v>
      </c>
      <c r="F1451" s="14"/>
      <c r="G1451" s="120" t="e">
        <f>VLOOKUP($B1451,Information!$C$8:$F$15,4,FALSE)</f>
        <v>#N/A</v>
      </c>
      <c r="H1451" s="210" t="str">
        <f>TEXT(A1451,"ddd")</f>
        <v>Sat</v>
      </c>
    </row>
    <row r="1452" spans="1:8" x14ac:dyDescent="0.25">
      <c r="A1452" s="13"/>
      <c r="B1452" s="14"/>
      <c r="C1452" s="39"/>
      <c r="D1452" s="39"/>
      <c r="E1452" s="36" t="str">
        <f>IF(SUM(C1452:D1452)=0," ",SUM(C1452:D1452))</f>
        <v xml:space="preserve"> </v>
      </c>
      <c r="F1452" s="14"/>
      <c r="G1452" s="120" t="e">
        <f>VLOOKUP($B1452,Information!$C$8:$F$15,4,FALSE)</f>
        <v>#N/A</v>
      </c>
      <c r="H1452" s="210" t="str">
        <f>TEXT(A1452,"ddd")</f>
        <v>Sat</v>
      </c>
    </row>
    <row r="1453" spans="1:8" x14ac:dyDescent="0.25">
      <c r="A1453" s="13"/>
      <c r="B1453" s="14"/>
      <c r="C1453" s="39"/>
      <c r="D1453" s="39"/>
      <c r="E1453" s="36" t="str">
        <f>IF(SUM(C1453:D1453)=0," ",SUM(C1453:D1453))</f>
        <v xml:space="preserve"> </v>
      </c>
      <c r="F1453" s="14"/>
      <c r="G1453" s="120" t="e">
        <f>VLOOKUP($B1453,Information!$C$8:$F$15,4,FALSE)</f>
        <v>#N/A</v>
      </c>
      <c r="H1453" s="210" t="str">
        <f>TEXT(A1453,"ddd")</f>
        <v>Sat</v>
      </c>
    </row>
    <row r="1454" spans="1:8" x14ac:dyDescent="0.25">
      <c r="A1454" s="13"/>
      <c r="B1454" s="14"/>
      <c r="C1454" s="39"/>
      <c r="D1454" s="39"/>
      <c r="E1454" s="36" t="str">
        <f>IF(SUM(C1454:D1454)=0," ",SUM(C1454:D1454))</f>
        <v xml:space="preserve"> </v>
      </c>
      <c r="F1454" s="14"/>
      <c r="G1454" s="120" t="e">
        <f>VLOOKUP($B1454,Information!$C$8:$F$15,4,FALSE)</f>
        <v>#N/A</v>
      </c>
      <c r="H1454" s="210" t="str">
        <f>TEXT(A1454,"ddd")</f>
        <v>Sat</v>
      </c>
    </row>
    <row r="1455" spans="1:8" x14ac:dyDescent="0.25">
      <c r="A1455" s="13"/>
      <c r="B1455" s="14"/>
      <c r="C1455" s="39"/>
      <c r="D1455" s="39"/>
      <c r="E1455" s="36" t="str">
        <f>IF(SUM(C1455:D1455)=0," ",SUM(C1455:D1455))</f>
        <v xml:space="preserve"> </v>
      </c>
      <c r="F1455" s="14"/>
      <c r="G1455" s="120" t="e">
        <f>VLOOKUP($B1455,Information!$C$8:$F$15,4,FALSE)</f>
        <v>#N/A</v>
      </c>
      <c r="H1455" s="210" t="str">
        <f>TEXT(A1455,"ddd")</f>
        <v>Sat</v>
      </c>
    </row>
    <row r="1456" spans="1:8" x14ac:dyDescent="0.25">
      <c r="A1456" s="13"/>
      <c r="B1456" s="14"/>
      <c r="C1456" s="39"/>
      <c r="D1456" s="39"/>
      <c r="E1456" s="36" t="str">
        <f>IF(SUM(C1456:D1456)=0," ",SUM(C1456:D1456))</f>
        <v xml:space="preserve"> </v>
      </c>
      <c r="F1456" s="14"/>
      <c r="G1456" s="120" t="e">
        <f>VLOOKUP($B1456,Information!$C$8:$F$15,4,FALSE)</f>
        <v>#N/A</v>
      </c>
      <c r="H1456" s="210" t="str">
        <f>TEXT(A1456,"ddd")</f>
        <v>Sat</v>
      </c>
    </row>
    <row r="1457" spans="1:8" x14ac:dyDescent="0.25">
      <c r="A1457" s="13"/>
      <c r="B1457" s="14"/>
      <c r="C1457" s="39"/>
      <c r="D1457" s="39"/>
      <c r="E1457" s="36" t="str">
        <f>IF(SUM(C1457:D1457)=0," ",SUM(C1457:D1457))</f>
        <v xml:space="preserve"> </v>
      </c>
      <c r="F1457" s="14"/>
      <c r="G1457" s="120" t="e">
        <f>VLOOKUP($B1457,Information!$C$8:$F$15,4,FALSE)</f>
        <v>#N/A</v>
      </c>
      <c r="H1457" s="210" t="str">
        <f>TEXT(A1457,"ddd")</f>
        <v>Sat</v>
      </c>
    </row>
    <row r="1458" spans="1:8" x14ac:dyDescent="0.25">
      <c r="A1458" s="13"/>
      <c r="B1458" s="14"/>
      <c r="C1458" s="39"/>
      <c r="D1458" s="39"/>
      <c r="E1458" s="36" t="str">
        <f>IF(SUM(C1458:D1458)=0," ",SUM(C1458:D1458))</f>
        <v xml:space="preserve"> </v>
      </c>
      <c r="F1458" s="14"/>
      <c r="G1458" s="120" t="e">
        <f>VLOOKUP($B1458,Information!$C$8:$F$15,4,FALSE)</f>
        <v>#N/A</v>
      </c>
      <c r="H1458" s="210" t="str">
        <f>TEXT(A1458,"ddd")</f>
        <v>Sat</v>
      </c>
    </row>
    <row r="1459" spans="1:8" x14ac:dyDescent="0.25">
      <c r="A1459" s="13"/>
      <c r="B1459" s="14"/>
      <c r="C1459" s="39"/>
      <c r="D1459" s="39"/>
      <c r="E1459" s="36" t="str">
        <f>IF(SUM(C1459:D1459)=0," ",SUM(C1459:D1459))</f>
        <v xml:space="preserve"> </v>
      </c>
      <c r="F1459" s="14"/>
      <c r="G1459" s="120" t="e">
        <f>VLOOKUP($B1459,Information!$C$8:$F$15,4,FALSE)</f>
        <v>#N/A</v>
      </c>
      <c r="H1459" s="210" t="str">
        <f>TEXT(A1459,"ddd")</f>
        <v>Sat</v>
      </c>
    </row>
    <row r="1460" spans="1:8" x14ac:dyDescent="0.25">
      <c r="A1460" s="13"/>
      <c r="B1460" s="14"/>
      <c r="C1460" s="39"/>
      <c r="D1460" s="39"/>
      <c r="E1460" s="36" t="str">
        <f>IF(SUM(C1460:D1460)=0," ",SUM(C1460:D1460))</f>
        <v xml:space="preserve"> </v>
      </c>
      <c r="F1460" s="14"/>
      <c r="G1460" s="120" t="e">
        <f>VLOOKUP($B1460,Information!$C$8:$F$15,4,FALSE)</f>
        <v>#N/A</v>
      </c>
      <c r="H1460" s="210" t="str">
        <f>TEXT(A1460,"ddd")</f>
        <v>Sat</v>
      </c>
    </row>
    <row r="1461" spans="1:8" x14ac:dyDescent="0.25">
      <c r="A1461" s="13"/>
      <c r="B1461" s="14"/>
      <c r="C1461" s="39"/>
      <c r="D1461" s="39"/>
      <c r="E1461" s="36" t="str">
        <f>IF(SUM(C1461:D1461)=0," ",SUM(C1461:D1461))</f>
        <v xml:space="preserve"> </v>
      </c>
      <c r="F1461" s="14"/>
      <c r="G1461" s="120" t="e">
        <f>VLOOKUP($B1461,Information!$C$8:$F$15,4,FALSE)</f>
        <v>#N/A</v>
      </c>
      <c r="H1461" s="210" t="str">
        <f>TEXT(A1461,"ddd")</f>
        <v>Sat</v>
      </c>
    </row>
    <row r="1462" spans="1:8" x14ac:dyDescent="0.25">
      <c r="A1462" s="13"/>
      <c r="B1462" s="14"/>
      <c r="C1462" s="39"/>
      <c r="D1462" s="39"/>
      <c r="E1462" s="36" t="str">
        <f>IF(SUM(C1462:D1462)=0," ",SUM(C1462:D1462))</f>
        <v xml:space="preserve"> </v>
      </c>
      <c r="F1462" s="14"/>
      <c r="G1462" s="120" t="e">
        <f>VLOOKUP($B1462,Information!$C$8:$F$15,4,FALSE)</f>
        <v>#N/A</v>
      </c>
      <c r="H1462" s="210" t="str">
        <f>TEXT(A1462,"ddd")</f>
        <v>Sat</v>
      </c>
    </row>
    <row r="1463" spans="1:8" x14ac:dyDescent="0.25">
      <c r="A1463" s="13"/>
      <c r="B1463" s="14"/>
      <c r="C1463" s="39"/>
      <c r="D1463" s="39"/>
      <c r="E1463" s="36" t="str">
        <f>IF(SUM(C1463:D1463)=0," ",SUM(C1463:D1463))</f>
        <v xml:space="preserve"> </v>
      </c>
      <c r="F1463" s="14"/>
      <c r="G1463" s="120" t="e">
        <f>VLOOKUP($B1463,Information!$C$8:$F$15,4,FALSE)</f>
        <v>#N/A</v>
      </c>
      <c r="H1463" s="210" t="str">
        <f>TEXT(A1463,"ddd")</f>
        <v>Sat</v>
      </c>
    </row>
    <row r="1464" spans="1:8" x14ac:dyDescent="0.25">
      <c r="A1464" s="13"/>
      <c r="B1464" s="14"/>
      <c r="C1464" s="39"/>
      <c r="D1464" s="39"/>
      <c r="E1464" s="36" t="str">
        <f>IF(SUM(C1464:D1464)=0," ",SUM(C1464:D1464))</f>
        <v xml:space="preserve"> </v>
      </c>
      <c r="F1464" s="14"/>
      <c r="G1464" s="120" t="e">
        <f>VLOOKUP($B1464,Information!$C$8:$F$15,4,FALSE)</f>
        <v>#N/A</v>
      </c>
      <c r="H1464" s="210" t="str">
        <f>TEXT(A1464,"ddd")</f>
        <v>Sat</v>
      </c>
    </row>
    <row r="1465" spans="1:8" x14ac:dyDescent="0.25">
      <c r="A1465" s="13"/>
      <c r="B1465" s="14"/>
      <c r="C1465" s="39"/>
      <c r="D1465" s="39"/>
      <c r="E1465" s="36" t="str">
        <f>IF(SUM(C1465:D1465)=0," ",SUM(C1465:D1465))</f>
        <v xml:space="preserve"> </v>
      </c>
      <c r="F1465" s="14"/>
      <c r="G1465" s="120" t="e">
        <f>VLOOKUP($B1465,Information!$C$8:$F$15,4,FALSE)</f>
        <v>#N/A</v>
      </c>
      <c r="H1465" s="210" t="str">
        <f>TEXT(A1465,"ddd")</f>
        <v>Sat</v>
      </c>
    </row>
    <row r="1466" spans="1:8" x14ac:dyDescent="0.25">
      <c r="A1466" s="13"/>
      <c r="B1466" s="14"/>
      <c r="C1466" s="39"/>
      <c r="D1466" s="39"/>
      <c r="E1466" s="36" t="str">
        <f>IF(SUM(C1466:D1466)=0," ",SUM(C1466:D1466))</f>
        <v xml:space="preserve"> </v>
      </c>
      <c r="F1466" s="14"/>
      <c r="G1466" s="120" t="e">
        <f>VLOOKUP($B1466,Information!$C$8:$F$15,4,FALSE)</f>
        <v>#N/A</v>
      </c>
      <c r="H1466" s="210" t="str">
        <f>TEXT(A1466,"ddd")</f>
        <v>Sat</v>
      </c>
    </row>
    <row r="1467" spans="1:8" x14ac:dyDescent="0.25">
      <c r="A1467" s="13"/>
      <c r="B1467" s="14"/>
      <c r="C1467" s="39"/>
      <c r="D1467" s="39"/>
      <c r="E1467" s="36" t="str">
        <f>IF(SUM(C1467:D1467)=0," ",SUM(C1467:D1467))</f>
        <v xml:space="preserve"> </v>
      </c>
      <c r="F1467" s="14"/>
      <c r="G1467" s="120" t="e">
        <f>VLOOKUP($B1467,Information!$C$8:$F$15,4,FALSE)</f>
        <v>#N/A</v>
      </c>
      <c r="H1467" s="210" t="str">
        <f>TEXT(A1467,"ddd")</f>
        <v>Sat</v>
      </c>
    </row>
    <row r="1468" spans="1:8" x14ac:dyDescent="0.25">
      <c r="A1468" s="13"/>
      <c r="B1468" s="14"/>
      <c r="C1468" s="39"/>
      <c r="D1468" s="39"/>
      <c r="E1468" s="36" t="str">
        <f>IF(SUM(C1468:D1468)=0," ",SUM(C1468:D1468))</f>
        <v xml:space="preserve"> </v>
      </c>
      <c r="F1468" s="14"/>
      <c r="G1468" s="120" t="e">
        <f>VLOOKUP($B1468,Information!$C$8:$F$15,4,FALSE)</f>
        <v>#N/A</v>
      </c>
      <c r="H1468" s="210" t="str">
        <f>TEXT(A1468,"ddd")</f>
        <v>Sat</v>
      </c>
    </row>
    <row r="1469" spans="1:8" x14ac:dyDescent="0.25">
      <c r="A1469" s="13"/>
      <c r="B1469" s="14"/>
      <c r="C1469" s="39"/>
      <c r="D1469" s="39"/>
      <c r="E1469" s="36" t="str">
        <f>IF(SUM(C1469:D1469)=0," ",SUM(C1469:D1469))</f>
        <v xml:space="preserve"> </v>
      </c>
      <c r="F1469" s="14"/>
      <c r="G1469" s="120" t="e">
        <f>VLOOKUP($B1469,Information!$C$8:$F$15,4,FALSE)</f>
        <v>#N/A</v>
      </c>
      <c r="H1469" s="210" t="str">
        <f>TEXT(A1469,"ddd")</f>
        <v>Sat</v>
      </c>
    </row>
    <row r="1470" spans="1:8" x14ac:dyDescent="0.25">
      <c r="A1470" s="13"/>
      <c r="B1470" s="14"/>
      <c r="C1470" s="39"/>
      <c r="D1470" s="39"/>
      <c r="E1470" s="36" t="str">
        <f>IF(SUM(C1470:D1470)=0," ",SUM(C1470:D1470))</f>
        <v xml:space="preserve"> </v>
      </c>
      <c r="F1470" s="14"/>
      <c r="G1470" s="120" t="e">
        <f>VLOOKUP($B1470,Information!$C$8:$F$15,4,FALSE)</f>
        <v>#N/A</v>
      </c>
      <c r="H1470" s="210" t="str">
        <f>TEXT(A1470,"ddd")</f>
        <v>Sat</v>
      </c>
    </row>
    <row r="1471" spans="1:8" x14ac:dyDescent="0.25">
      <c r="A1471" s="13"/>
      <c r="B1471" s="14"/>
      <c r="C1471" s="39"/>
      <c r="D1471" s="39"/>
      <c r="E1471" s="36" t="str">
        <f>IF(SUM(C1471:D1471)=0," ",SUM(C1471:D1471))</f>
        <v xml:space="preserve"> </v>
      </c>
      <c r="F1471" s="14"/>
      <c r="G1471" s="120" t="e">
        <f>VLOOKUP($B1471,Information!$C$8:$F$15,4,FALSE)</f>
        <v>#N/A</v>
      </c>
      <c r="H1471" s="210" t="str">
        <f>TEXT(A1471,"ddd")</f>
        <v>Sat</v>
      </c>
    </row>
    <row r="1472" spans="1:8" x14ac:dyDescent="0.25">
      <c r="A1472" s="13"/>
      <c r="B1472" s="14"/>
      <c r="C1472" s="39"/>
      <c r="D1472" s="39"/>
      <c r="E1472" s="36" t="str">
        <f>IF(SUM(C1472:D1472)=0," ",SUM(C1472:D1472))</f>
        <v xml:space="preserve"> </v>
      </c>
      <c r="F1472" s="14"/>
      <c r="G1472" s="120" t="e">
        <f>VLOOKUP($B1472,Information!$C$8:$F$15,4,FALSE)</f>
        <v>#N/A</v>
      </c>
      <c r="H1472" s="210" t="str">
        <f>TEXT(A1472,"ddd")</f>
        <v>Sat</v>
      </c>
    </row>
    <row r="1473" spans="1:8" x14ac:dyDescent="0.25">
      <c r="A1473" s="13"/>
      <c r="B1473" s="14"/>
      <c r="C1473" s="39"/>
      <c r="D1473" s="39"/>
      <c r="E1473" s="36" t="str">
        <f>IF(SUM(C1473:D1473)=0," ",SUM(C1473:D1473))</f>
        <v xml:space="preserve"> </v>
      </c>
      <c r="F1473" s="14"/>
      <c r="G1473" s="120" t="e">
        <f>VLOOKUP($B1473,Information!$C$8:$F$15,4,FALSE)</f>
        <v>#N/A</v>
      </c>
      <c r="H1473" s="210" t="str">
        <f>TEXT(A1473,"ddd")</f>
        <v>Sat</v>
      </c>
    </row>
    <row r="1474" spans="1:8" x14ac:dyDescent="0.25">
      <c r="A1474" s="13"/>
      <c r="B1474" s="14"/>
      <c r="C1474" s="39"/>
      <c r="D1474" s="39"/>
      <c r="E1474" s="36" t="str">
        <f>IF(SUM(C1474:D1474)=0," ",SUM(C1474:D1474))</f>
        <v xml:space="preserve"> </v>
      </c>
      <c r="F1474" s="14"/>
      <c r="G1474" s="120" t="e">
        <f>VLOOKUP($B1474,Information!$C$8:$F$15,4,FALSE)</f>
        <v>#N/A</v>
      </c>
      <c r="H1474" s="210" t="str">
        <f>TEXT(A1474,"ddd")</f>
        <v>Sat</v>
      </c>
    </row>
    <row r="1475" spans="1:8" x14ac:dyDescent="0.25">
      <c r="A1475" s="13"/>
      <c r="B1475" s="14"/>
      <c r="C1475" s="39"/>
      <c r="D1475" s="39"/>
      <c r="E1475" s="36" t="str">
        <f>IF(SUM(C1475:D1475)=0," ",SUM(C1475:D1475))</f>
        <v xml:space="preserve"> </v>
      </c>
      <c r="F1475" s="14"/>
      <c r="G1475" s="120" t="e">
        <f>VLOOKUP($B1475,Information!$C$8:$F$15,4,FALSE)</f>
        <v>#N/A</v>
      </c>
      <c r="H1475" s="210" t="str">
        <f>TEXT(A1475,"ddd")</f>
        <v>Sat</v>
      </c>
    </row>
    <row r="1476" spans="1:8" x14ac:dyDescent="0.25">
      <c r="A1476" s="13"/>
      <c r="B1476" s="14"/>
      <c r="C1476" s="39"/>
      <c r="D1476" s="39"/>
      <c r="E1476" s="36" t="str">
        <f>IF(SUM(C1476:D1476)=0," ",SUM(C1476:D1476))</f>
        <v xml:space="preserve"> </v>
      </c>
      <c r="F1476" s="14"/>
      <c r="G1476" s="120" t="e">
        <f>VLOOKUP($B1476,Information!$C$8:$F$15,4,FALSE)</f>
        <v>#N/A</v>
      </c>
      <c r="H1476" s="210" t="str">
        <f>TEXT(A1476,"ddd")</f>
        <v>Sat</v>
      </c>
    </row>
    <row r="1477" spans="1:8" x14ac:dyDescent="0.25">
      <c r="A1477" s="13"/>
      <c r="B1477" s="14"/>
      <c r="C1477" s="39"/>
      <c r="D1477" s="39"/>
      <c r="E1477" s="36" t="str">
        <f>IF(SUM(C1477:D1477)=0," ",SUM(C1477:D1477))</f>
        <v xml:space="preserve"> </v>
      </c>
      <c r="F1477" s="14"/>
      <c r="G1477" s="120" t="e">
        <f>VLOOKUP($B1477,Information!$C$8:$F$15,4,FALSE)</f>
        <v>#N/A</v>
      </c>
      <c r="H1477" s="210" t="str">
        <f>TEXT(A1477,"ddd")</f>
        <v>Sat</v>
      </c>
    </row>
    <row r="1478" spans="1:8" x14ac:dyDescent="0.25">
      <c r="A1478" s="13"/>
      <c r="B1478" s="14"/>
      <c r="C1478" s="39"/>
      <c r="D1478" s="39"/>
      <c r="E1478" s="36" t="str">
        <f>IF(SUM(C1478:D1478)=0," ",SUM(C1478:D1478))</f>
        <v xml:space="preserve"> </v>
      </c>
      <c r="F1478" s="14"/>
      <c r="G1478" s="120" t="e">
        <f>VLOOKUP($B1478,Information!$C$8:$F$15,4,FALSE)</f>
        <v>#N/A</v>
      </c>
      <c r="H1478" s="210" t="str">
        <f>TEXT(A1478,"ddd")</f>
        <v>Sat</v>
      </c>
    </row>
    <row r="1479" spans="1:8" x14ac:dyDescent="0.25">
      <c r="A1479" s="13"/>
      <c r="B1479" s="14"/>
      <c r="C1479" s="39"/>
      <c r="D1479" s="39"/>
      <c r="E1479" s="36" t="str">
        <f>IF(SUM(C1479:D1479)=0," ",SUM(C1479:D1479))</f>
        <v xml:space="preserve"> </v>
      </c>
      <c r="F1479" s="14"/>
      <c r="G1479" s="120" t="e">
        <f>VLOOKUP($B1479,Information!$C$8:$F$15,4,FALSE)</f>
        <v>#N/A</v>
      </c>
      <c r="H1479" s="210" t="str">
        <f>TEXT(A1479,"ddd")</f>
        <v>Sat</v>
      </c>
    </row>
    <row r="1480" spans="1:8" x14ac:dyDescent="0.25">
      <c r="A1480" s="13"/>
      <c r="B1480" s="14"/>
      <c r="C1480" s="39"/>
      <c r="D1480" s="39"/>
      <c r="E1480" s="36" t="str">
        <f>IF(SUM(C1480:D1480)=0," ",SUM(C1480:D1480))</f>
        <v xml:space="preserve"> </v>
      </c>
      <c r="F1480" s="14"/>
      <c r="G1480" s="120" t="e">
        <f>VLOOKUP($B1480,Information!$C$8:$F$15,4,FALSE)</f>
        <v>#N/A</v>
      </c>
      <c r="H1480" s="210" t="str">
        <f>TEXT(A1480,"ddd")</f>
        <v>Sat</v>
      </c>
    </row>
    <row r="1481" spans="1:8" x14ac:dyDescent="0.25">
      <c r="A1481" s="13"/>
      <c r="B1481" s="14"/>
      <c r="C1481" s="39"/>
      <c r="D1481" s="39"/>
      <c r="E1481" s="36" t="str">
        <f>IF(SUM(C1481:D1481)=0," ",SUM(C1481:D1481))</f>
        <v xml:space="preserve"> </v>
      </c>
      <c r="F1481" s="14"/>
      <c r="G1481" s="120" t="e">
        <f>VLOOKUP($B1481,Information!$C$8:$F$15,4,FALSE)</f>
        <v>#N/A</v>
      </c>
      <c r="H1481" s="210" t="str">
        <f>TEXT(A1481,"ddd")</f>
        <v>Sat</v>
      </c>
    </row>
    <row r="1482" spans="1:8" x14ac:dyDescent="0.25">
      <c r="A1482" s="13"/>
      <c r="B1482" s="14"/>
      <c r="C1482" s="39"/>
      <c r="D1482" s="39"/>
      <c r="E1482" s="36" t="str">
        <f>IF(SUM(C1482:D1482)=0," ",SUM(C1482:D1482))</f>
        <v xml:space="preserve"> </v>
      </c>
      <c r="F1482" s="14"/>
      <c r="G1482" s="120" t="e">
        <f>VLOOKUP($B1482,Information!$C$8:$F$15,4,FALSE)</f>
        <v>#N/A</v>
      </c>
      <c r="H1482" s="210" t="str">
        <f>TEXT(A1482,"ddd")</f>
        <v>Sat</v>
      </c>
    </row>
    <row r="1483" spans="1:8" x14ac:dyDescent="0.25">
      <c r="A1483" s="13"/>
      <c r="B1483" s="14"/>
      <c r="C1483" s="39"/>
      <c r="D1483" s="39"/>
      <c r="E1483" s="36" t="str">
        <f>IF(SUM(C1483:D1483)=0," ",SUM(C1483:D1483))</f>
        <v xml:space="preserve"> </v>
      </c>
      <c r="F1483" s="14"/>
      <c r="G1483" s="120" t="e">
        <f>VLOOKUP($B1483,Information!$C$8:$F$15,4,FALSE)</f>
        <v>#N/A</v>
      </c>
      <c r="H1483" s="210" t="str">
        <f>TEXT(A1483,"ddd")</f>
        <v>Sat</v>
      </c>
    </row>
    <row r="1484" spans="1:8" x14ac:dyDescent="0.25">
      <c r="A1484" s="13"/>
      <c r="B1484" s="14"/>
      <c r="C1484" s="39"/>
      <c r="D1484" s="39"/>
      <c r="E1484" s="36" t="str">
        <f>IF(SUM(C1484:D1484)=0," ",SUM(C1484:D1484))</f>
        <v xml:space="preserve"> </v>
      </c>
      <c r="F1484" s="14"/>
      <c r="G1484" s="120" t="e">
        <f>VLOOKUP($B1484,Information!$C$8:$F$15,4,FALSE)</f>
        <v>#N/A</v>
      </c>
      <c r="H1484" s="210" t="str">
        <f>TEXT(A1484,"ddd")</f>
        <v>Sat</v>
      </c>
    </row>
    <row r="1485" spans="1:8" x14ac:dyDescent="0.25">
      <c r="A1485" s="13"/>
      <c r="B1485" s="14"/>
      <c r="C1485" s="39"/>
      <c r="D1485" s="39"/>
      <c r="E1485" s="36" t="str">
        <f>IF(SUM(C1485:D1485)=0," ",SUM(C1485:D1485))</f>
        <v xml:space="preserve"> </v>
      </c>
      <c r="F1485" s="14"/>
      <c r="G1485" s="120" t="e">
        <f>VLOOKUP($B1485,Information!$C$8:$F$15,4,FALSE)</f>
        <v>#N/A</v>
      </c>
      <c r="H1485" s="210" t="str">
        <f>TEXT(A1485,"ddd")</f>
        <v>Sat</v>
      </c>
    </row>
    <row r="1486" spans="1:8" x14ac:dyDescent="0.25">
      <c r="A1486" s="13"/>
      <c r="B1486" s="14"/>
      <c r="C1486" s="39"/>
      <c r="D1486" s="39"/>
      <c r="E1486" s="36" t="str">
        <f>IF(SUM(C1486:D1486)=0," ",SUM(C1486:D1486))</f>
        <v xml:space="preserve"> </v>
      </c>
      <c r="F1486" s="14"/>
      <c r="G1486" s="120" t="e">
        <f>VLOOKUP($B1486,Information!$C$8:$F$15,4,FALSE)</f>
        <v>#N/A</v>
      </c>
      <c r="H1486" s="210" t="str">
        <f>TEXT(A1486,"ddd")</f>
        <v>Sat</v>
      </c>
    </row>
    <row r="1487" spans="1:8" x14ac:dyDescent="0.25">
      <c r="A1487" s="13"/>
      <c r="B1487" s="14"/>
      <c r="C1487" s="39"/>
      <c r="D1487" s="39"/>
      <c r="E1487" s="36" t="str">
        <f>IF(SUM(C1487:D1487)=0," ",SUM(C1487:D1487))</f>
        <v xml:space="preserve"> </v>
      </c>
      <c r="F1487" s="14"/>
      <c r="G1487" s="120" t="e">
        <f>VLOOKUP($B1487,Information!$C$8:$F$15,4,FALSE)</f>
        <v>#N/A</v>
      </c>
      <c r="H1487" s="210" t="str">
        <f>TEXT(A1487,"ddd")</f>
        <v>Sat</v>
      </c>
    </row>
    <row r="1488" spans="1:8" x14ac:dyDescent="0.25">
      <c r="A1488" s="13"/>
      <c r="B1488" s="14"/>
      <c r="C1488" s="39"/>
      <c r="D1488" s="39"/>
      <c r="E1488" s="36" t="str">
        <f>IF(SUM(C1488:D1488)=0," ",SUM(C1488:D1488))</f>
        <v xml:space="preserve"> </v>
      </c>
      <c r="F1488" s="14"/>
      <c r="G1488" s="120" t="e">
        <f>VLOOKUP($B1488,Information!$C$8:$F$15,4,FALSE)</f>
        <v>#N/A</v>
      </c>
      <c r="H1488" s="210" t="str">
        <f>TEXT(A1488,"ddd")</f>
        <v>Sat</v>
      </c>
    </row>
    <row r="1489" spans="1:8" x14ac:dyDescent="0.25">
      <c r="A1489" s="13"/>
      <c r="B1489" s="14"/>
      <c r="C1489" s="39"/>
      <c r="D1489" s="39"/>
      <c r="E1489" s="36" t="str">
        <f>IF(SUM(C1489:D1489)=0," ",SUM(C1489:D1489))</f>
        <v xml:space="preserve"> </v>
      </c>
      <c r="F1489" s="14"/>
      <c r="G1489" s="120" t="e">
        <f>VLOOKUP($B1489,Information!$C$8:$F$15,4,FALSE)</f>
        <v>#N/A</v>
      </c>
      <c r="H1489" s="210" t="str">
        <f>TEXT(A1489,"ddd")</f>
        <v>Sat</v>
      </c>
    </row>
    <row r="1490" spans="1:8" x14ac:dyDescent="0.25">
      <c r="A1490" s="13"/>
      <c r="B1490" s="14"/>
      <c r="C1490" s="39"/>
      <c r="D1490" s="39"/>
      <c r="E1490" s="36" t="str">
        <f>IF(SUM(C1490:D1490)=0," ",SUM(C1490:D1490))</f>
        <v xml:space="preserve"> </v>
      </c>
      <c r="F1490" s="14"/>
      <c r="G1490" s="120" t="e">
        <f>VLOOKUP($B1490,Information!$C$8:$F$15,4,FALSE)</f>
        <v>#N/A</v>
      </c>
      <c r="H1490" s="210" t="str">
        <f>TEXT(A1490,"ddd")</f>
        <v>Sat</v>
      </c>
    </row>
    <row r="1491" spans="1:8" x14ac:dyDescent="0.25">
      <c r="A1491" s="13"/>
      <c r="B1491" s="14"/>
      <c r="C1491" s="39"/>
      <c r="D1491" s="39"/>
      <c r="E1491" s="36" t="str">
        <f>IF(SUM(C1491:D1491)=0," ",SUM(C1491:D1491))</f>
        <v xml:space="preserve"> </v>
      </c>
      <c r="F1491" s="14"/>
      <c r="G1491" s="120" t="e">
        <f>VLOOKUP($B1491,Information!$C$8:$F$15,4,FALSE)</f>
        <v>#N/A</v>
      </c>
      <c r="H1491" s="210" t="str">
        <f>TEXT(A1491,"ddd")</f>
        <v>Sat</v>
      </c>
    </row>
    <row r="1492" spans="1:8" x14ac:dyDescent="0.25">
      <c r="A1492" s="13"/>
      <c r="B1492" s="14"/>
      <c r="C1492" s="39"/>
      <c r="D1492" s="39"/>
      <c r="E1492" s="36" t="str">
        <f>IF(SUM(C1492:D1492)=0," ",SUM(C1492:D1492))</f>
        <v xml:space="preserve"> </v>
      </c>
      <c r="F1492" s="14"/>
      <c r="G1492" s="120" t="e">
        <f>VLOOKUP($B1492,Information!$C$8:$F$15,4,FALSE)</f>
        <v>#N/A</v>
      </c>
      <c r="H1492" s="210" t="str">
        <f>TEXT(A1492,"ddd")</f>
        <v>Sat</v>
      </c>
    </row>
    <row r="1493" spans="1:8" x14ac:dyDescent="0.25">
      <c r="A1493" s="13"/>
      <c r="B1493" s="14"/>
      <c r="C1493" s="39"/>
      <c r="D1493" s="39"/>
      <c r="E1493" s="36" t="str">
        <f>IF(SUM(C1493:D1493)=0," ",SUM(C1493:D1493))</f>
        <v xml:space="preserve"> </v>
      </c>
      <c r="F1493" s="14"/>
      <c r="G1493" s="120" t="e">
        <f>VLOOKUP($B1493,Information!$C$8:$F$15,4,FALSE)</f>
        <v>#N/A</v>
      </c>
      <c r="H1493" s="210" t="str">
        <f>TEXT(A1493,"ddd")</f>
        <v>Sat</v>
      </c>
    </row>
    <row r="1494" spans="1:8" x14ac:dyDescent="0.25">
      <c r="A1494" s="13"/>
      <c r="B1494" s="14"/>
      <c r="C1494" s="39"/>
      <c r="D1494" s="39"/>
      <c r="E1494" s="36" t="str">
        <f>IF(SUM(C1494:D1494)=0," ",SUM(C1494:D1494))</f>
        <v xml:space="preserve"> </v>
      </c>
      <c r="F1494" s="14"/>
      <c r="G1494" s="120" t="e">
        <f>VLOOKUP($B1494,Information!$C$8:$F$15,4,FALSE)</f>
        <v>#N/A</v>
      </c>
      <c r="H1494" s="210" t="str">
        <f>TEXT(A1494,"ddd")</f>
        <v>Sat</v>
      </c>
    </row>
    <row r="1495" spans="1:8" x14ac:dyDescent="0.25">
      <c r="A1495" s="13"/>
      <c r="B1495" s="14"/>
      <c r="C1495" s="39"/>
      <c r="D1495" s="39"/>
      <c r="E1495" s="36" t="str">
        <f>IF(SUM(C1495:D1495)=0," ",SUM(C1495:D1495))</f>
        <v xml:space="preserve"> </v>
      </c>
      <c r="F1495" s="14"/>
      <c r="G1495" s="120" t="e">
        <f>VLOOKUP($B1495,Information!$C$8:$F$15,4,FALSE)</f>
        <v>#N/A</v>
      </c>
      <c r="H1495" s="210" t="str">
        <f>TEXT(A1495,"ddd")</f>
        <v>Sat</v>
      </c>
    </row>
    <row r="1496" spans="1:8" x14ac:dyDescent="0.25">
      <c r="A1496" s="13"/>
      <c r="B1496" s="14"/>
      <c r="C1496" s="39"/>
      <c r="D1496" s="39"/>
      <c r="E1496" s="36" t="str">
        <f>IF(SUM(C1496:D1496)=0," ",SUM(C1496:D1496))</f>
        <v xml:space="preserve"> </v>
      </c>
      <c r="F1496" s="14"/>
      <c r="G1496" s="120" t="e">
        <f>VLOOKUP($B1496,Information!$C$8:$F$15,4,FALSE)</f>
        <v>#N/A</v>
      </c>
      <c r="H1496" s="210" t="str">
        <f>TEXT(A1496,"ddd")</f>
        <v>Sat</v>
      </c>
    </row>
    <row r="1497" spans="1:8" x14ac:dyDescent="0.25">
      <c r="A1497" s="13"/>
      <c r="B1497" s="14"/>
      <c r="C1497" s="39"/>
      <c r="D1497" s="39"/>
      <c r="E1497" s="36" t="str">
        <f>IF(SUM(C1497:D1497)=0," ",SUM(C1497:D1497))</f>
        <v xml:space="preserve"> </v>
      </c>
      <c r="F1497" s="14"/>
      <c r="G1497" s="120" t="e">
        <f>VLOOKUP($B1497,Information!$C$8:$F$15,4,FALSE)</f>
        <v>#N/A</v>
      </c>
      <c r="H1497" s="210" t="str">
        <f>TEXT(A1497,"ddd")</f>
        <v>Sat</v>
      </c>
    </row>
    <row r="1498" spans="1:8" x14ac:dyDescent="0.25">
      <c r="A1498" s="13"/>
      <c r="B1498" s="14"/>
      <c r="C1498" s="39"/>
      <c r="D1498" s="39"/>
      <c r="E1498" s="36" t="str">
        <f>IF(SUM(C1498:D1498)=0," ",SUM(C1498:D1498))</f>
        <v xml:space="preserve"> </v>
      </c>
      <c r="F1498" s="14"/>
      <c r="G1498" s="120" t="e">
        <f>VLOOKUP($B1498,Information!$C$8:$F$15,4,FALSE)</f>
        <v>#N/A</v>
      </c>
      <c r="H1498" s="210" t="str">
        <f>TEXT(A1498,"ddd")</f>
        <v>Sat</v>
      </c>
    </row>
    <row r="1499" spans="1:8" x14ac:dyDescent="0.25">
      <c r="A1499" s="13"/>
      <c r="B1499" s="14"/>
      <c r="C1499" s="39"/>
      <c r="D1499" s="39"/>
      <c r="E1499" s="36" t="str">
        <f>IF(SUM(C1499:D1499)=0," ",SUM(C1499:D1499))</f>
        <v xml:space="preserve"> </v>
      </c>
      <c r="F1499" s="14"/>
      <c r="G1499" s="120" t="e">
        <f>VLOOKUP($B1499,Information!$C$8:$F$15,4,FALSE)</f>
        <v>#N/A</v>
      </c>
      <c r="H1499" s="210" t="str">
        <f>TEXT(A1499,"ddd")</f>
        <v>Sat</v>
      </c>
    </row>
    <row r="1500" spans="1:8" x14ac:dyDescent="0.25">
      <c r="A1500" s="13"/>
      <c r="B1500" s="14"/>
      <c r="C1500" s="39"/>
      <c r="D1500" s="39"/>
      <c r="E1500" s="36" t="str">
        <f>IF(SUM(C1500:D1500)=0," ",SUM(C1500:D1500))</f>
        <v xml:space="preserve"> </v>
      </c>
      <c r="F1500" s="14"/>
      <c r="G1500" s="120" t="e">
        <f>VLOOKUP($B1500,Information!$C$8:$F$15,4,FALSE)</f>
        <v>#N/A</v>
      </c>
      <c r="H1500" s="210" t="str">
        <f>TEXT(A1500,"ddd")</f>
        <v>Sat</v>
      </c>
    </row>
    <row r="1501" spans="1:8" x14ac:dyDescent="0.25">
      <c r="A1501" s="13"/>
      <c r="B1501" s="14"/>
      <c r="C1501" s="39"/>
      <c r="D1501" s="39"/>
      <c r="E1501" s="36" t="str">
        <f>IF(SUM(C1501:D1501)=0," ",SUM(C1501:D1501))</f>
        <v xml:space="preserve"> </v>
      </c>
      <c r="F1501" s="14"/>
      <c r="G1501" s="120" t="e">
        <f>VLOOKUP($B1501,Information!$C$8:$F$15,4,FALSE)</f>
        <v>#N/A</v>
      </c>
      <c r="H1501" s="210" t="str">
        <f>TEXT(A1501,"ddd")</f>
        <v>Sat</v>
      </c>
    </row>
    <row r="1502" spans="1:8" x14ac:dyDescent="0.25">
      <c r="A1502" s="13"/>
      <c r="B1502" s="14"/>
      <c r="C1502" s="39"/>
      <c r="D1502" s="39"/>
      <c r="E1502" s="36" t="str">
        <f>IF(SUM(C1502:D1502)=0," ",SUM(C1502:D1502))</f>
        <v xml:space="preserve"> </v>
      </c>
      <c r="F1502" s="14"/>
      <c r="G1502" s="120" t="e">
        <f>VLOOKUP($B1502,Information!$C$8:$F$15,4,FALSE)</f>
        <v>#N/A</v>
      </c>
      <c r="H1502" s="210" t="str">
        <f>TEXT(A1502,"ddd")</f>
        <v>Sat</v>
      </c>
    </row>
    <row r="1503" spans="1:8" x14ac:dyDescent="0.25">
      <c r="A1503" s="13"/>
      <c r="B1503" s="14"/>
      <c r="C1503" s="39"/>
      <c r="D1503" s="39"/>
      <c r="E1503" s="36" t="str">
        <f>IF(SUM(C1503:D1503)=0," ",SUM(C1503:D1503))</f>
        <v xml:space="preserve"> </v>
      </c>
      <c r="F1503" s="14"/>
      <c r="G1503" s="120" t="e">
        <f>VLOOKUP($B1503,Information!$C$8:$F$15,4,FALSE)</f>
        <v>#N/A</v>
      </c>
      <c r="H1503" s="210" t="str">
        <f>TEXT(A1503,"ddd")</f>
        <v>Sat</v>
      </c>
    </row>
    <row r="1504" spans="1:8" x14ac:dyDescent="0.25">
      <c r="A1504" s="13"/>
      <c r="B1504" s="14"/>
      <c r="C1504" s="39"/>
      <c r="D1504" s="39"/>
      <c r="E1504" s="36" t="str">
        <f>IF(SUM(C1504:D1504)=0," ",SUM(C1504:D1504))</f>
        <v xml:space="preserve"> </v>
      </c>
      <c r="F1504" s="14"/>
      <c r="G1504" s="120" t="e">
        <f>VLOOKUP($B1504,Information!$C$8:$F$15,4,FALSE)</f>
        <v>#N/A</v>
      </c>
      <c r="H1504" s="210" t="str">
        <f>TEXT(A1504,"ddd")</f>
        <v>Sat</v>
      </c>
    </row>
    <row r="1505" spans="1:8" x14ac:dyDescent="0.25">
      <c r="A1505" s="13"/>
      <c r="B1505" s="14"/>
      <c r="C1505" s="39"/>
      <c r="D1505" s="39"/>
      <c r="E1505" s="36" t="str">
        <f>IF(SUM(C1505:D1505)=0," ",SUM(C1505:D1505))</f>
        <v xml:space="preserve"> </v>
      </c>
      <c r="F1505" s="14"/>
      <c r="G1505" s="120" t="e">
        <f>VLOOKUP($B1505,Information!$C$8:$F$15,4,FALSE)</f>
        <v>#N/A</v>
      </c>
      <c r="H1505" s="210" t="str">
        <f>TEXT(A1505,"ddd")</f>
        <v>Sat</v>
      </c>
    </row>
    <row r="1506" spans="1:8" x14ac:dyDescent="0.25">
      <c r="A1506" s="13"/>
      <c r="B1506" s="14"/>
      <c r="C1506" s="39"/>
      <c r="D1506" s="39"/>
      <c r="E1506" s="36" t="str">
        <f>IF(SUM(C1506:D1506)=0," ",SUM(C1506:D1506))</f>
        <v xml:space="preserve"> </v>
      </c>
      <c r="F1506" s="14"/>
      <c r="G1506" s="120" t="e">
        <f>VLOOKUP($B1506,Information!$C$8:$F$15,4,FALSE)</f>
        <v>#N/A</v>
      </c>
      <c r="H1506" s="210" t="str">
        <f>TEXT(A1506,"ddd")</f>
        <v>Sat</v>
      </c>
    </row>
    <row r="1507" spans="1:8" x14ac:dyDescent="0.25">
      <c r="A1507" s="13"/>
      <c r="B1507" s="14"/>
      <c r="C1507" s="39"/>
      <c r="D1507" s="39"/>
      <c r="E1507" s="36" t="str">
        <f>IF(SUM(C1507:D1507)=0," ",SUM(C1507:D1507))</f>
        <v xml:space="preserve"> </v>
      </c>
      <c r="F1507" s="14"/>
      <c r="G1507" s="120" t="e">
        <f>VLOOKUP($B1507,Information!$C$8:$F$15,4,FALSE)</f>
        <v>#N/A</v>
      </c>
      <c r="H1507" s="210" t="str">
        <f>TEXT(A1507,"ddd")</f>
        <v>Sat</v>
      </c>
    </row>
    <row r="1508" spans="1:8" x14ac:dyDescent="0.25">
      <c r="A1508" s="13"/>
      <c r="B1508" s="14"/>
      <c r="C1508" s="39"/>
      <c r="D1508" s="39"/>
      <c r="E1508" s="36" t="str">
        <f>IF(SUM(C1508:D1508)=0," ",SUM(C1508:D1508))</f>
        <v xml:space="preserve"> </v>
      </c>
      <c r="F1508" s="14"/>
      <c r="G1508" s="120" t="e">
        <f>VLOOKUP($B1508,Information!$C$8:$F$15,4,FALSE)</f>
        <v>#N/A</v>
      </c>
      <c r="H1508" s="210" t="str">
        <f>TEXT(A1508,"ddd")</f>
        <v>Sat</v>
      </c>
    </row>
    <row r="1509" spans="1:8" x14ac:dyDescent="0.25">
      <c r="A1509" s="13"/>
      <c r="B1509" s="14"/>
      <c r="C1509" s="39"/>
      <c r="D1509" s="39"/>
      <c r="E1509" s="36" t="str">
        <f>IF(SUM(C1509:D1509)=0," ",SUM(C1509:D1509))</f>
        <v xml:space="preserve"> </v>
      </c>
      <c r="F1509" s="14"/>
      <c r="G1509" s="120" t="e">
        <f>VLOOKUP($B1509,Information!$C$8:$F$15,4,FALSE)</f>
        <v>#N/A</v>
      </c>
      <c r="H1509" s="210" t="str">
        <f>TEXT(A1509,"ddd")</f>
        <v>Sat</v>
      </c>
    </row>
    <row r="1510" spans="1:8" x14ac:dyDescent="0.25">
      <c r="A1510" s="13"/>
      <c r="B1510" s="14"/>
      <c r="C1510" s="39"/>
      <c r="D1510" s="39"/>
      <c r="E1510" s="36" t="str">
        <f>IF(SUM(C1510:D1510)=0," ",SUM(C1510:D1510))</f>
        <v xml:space="preserve"> </v>
      </c>
      <c r="F1510" s="14"/>
      <c r="G1510" s="120" t="e">
        <f>VLOOKUP($B1510,Information!$C$8:$F$15,4,FALSE)</f>
        <v>#N/A</v>
      </c>
      <c r="H1510" s="210" t="str">
        <f>TEXT(A1510,"ddd")</f>
        <v>Sat</v>
      </c>
    </row>
    <row r="1511" spans="1:8" x14ac:dyDescent="0.25">
      <c r="A1511" s="13"/>
      <c r="B1511" s="14"/>
      <c r="C1511" s="39"/>
      <c r="D1511" s="39"/>
      <c r="E1511" s="36" t="str">
        <f>IF(SUM(C1511:D1511)=0," ",SUM(C1511:D1511))</f>
        <v xml:space="preserve"> </v>
      </c>
      <c r="F1511" s="14"/>
      <c r="G1511" s="120" t="e">
        <f>VLOOKUP($B1511,Information!$C$8:$F$15,4,FALSE)</f>
        <v>#N/A</v>
      </c>
      <c r="H1511" s="210" t="str">
        <f>TEXT(A1511,"ddd")</f>
        <v>Sat</v>
      </c>
    </row>
    <row r="1512" spans="1:8" x14ac:dyDescent="0.25">
      <c r="A1512" s="13"/>
      <c r="B1512" s="14"/>
      <c r="C1512" s="39"/>
      <c r="D1512" s="39"/>
      <c r="E1512" s="36" t="str">
        <f>IF(SUM(C1512:D1512)=0," ",SUM(C1512:D1512))</f>
        <v xml:space="preserve"> </v>
      </c>
      <c r="F1512" s="14"/>
      <c r="G1512" s="120" t="e">
        <f>VLOOKUP($B1512,Information!$C$8:$F$15,4,FALSE)</f>
        <v>#N/A</v>
      </c>
      <c r="H1512" s="210" t="str">
        <f>TEXT(A1512,"ddd")</f>
        <v>Sat</v>
      </c>
    </row>
    <row r="1513" spans="1:8" x14ac:dyDescent="0.25">
      <c r="A1513" s="13"/>
      <c r="B1513" s="14"/>
      <c r="C1513" s="39"/>
      <c r="D1513" s="39"/>
      <c r="E1513" s="36" t="str">
        <f>IF(SUM(C1513:D1513)=0," ",SUM(C1513:D1513))</f>
        <v xml:space="preserve"> </v>
      </c>
      <c r="F1513" s="14"/>
      <c r="G1513" s="120" t="e">
        <f>VLOOKUP($B1513,Information!$C$8:$F$15,4,FALSE)</f>
        <v>#N/A</v>
      </c>
      <c r="H1513" s="210" t="str">
        <f>TEXT(A1513,"ddd")</f>
        <v>Sat</v>
      </c>
    </row>
    <row r="1514" spans="1:8" x14ac:dyDescent="0.25">
      <c r="A1514" s="13"/>
      <c r="B1514" s="14"/>
      <c r="C1514" s="39"/>
      <c r="D1514" s="39"/>
      <c r="E1514" s="36" t="str">
        <f>IF(SUM(C1514:D1514)=0," ",SUM(C1514:D1514))</f>
        <v xml:space="preserve"> </v>
      </c>
      <c r="F1514" s="14"/>
      <c r="G1514" s="120" t="e">
        <f>VLOOKUP($B1514,Information!$C$8:$F$15,4,FALSE)</f>
        <v>#N/A</v>
      </c>
      <c r="H1514" s="210" t="str">
        <f>TEXT(A1514,"ddd")</f>
        <v>Sat</v>
      </c>
    </row>
    <row r="1515" spans="1:8" x14ac:dyDescent="0.25">
      <c r="A1515" s="13"/>
      <c r="B1515" s="14"/>
      <c r="C1515" s="39"/>
      <c r="D1515" s="39"/>
      <c r="E1515" s="36" t="str">
        <f>IF(SUM(C1515:D1515)=0," ",SUM(C1515:D1515))</f>
        <v xml:space="preserve"> </v>
      </c>
      <c r="F1515" s="14"/>
      <c r="G1515" s="120" t="e">
        <f>VLOOKUP($B1515,Information!$C$8:$F$15,4,FALSE)</f>
        <v>#N/A</v>
      </c>
      <c r="H1515" s="210" t="str">
        <f>TEXT(A1515,"ddd")</f>
        <v>Sat</v>
      </c>
    </row>
    <row r="1516" spans="1:8" x14ac:dyDescent="0.25">
      <c r="A1516" s="13"/>
      <c r="B1516" s="14"/>
      <c r="C1516" s="39"/>
      <c r="D1516" s="39"/>
      <c r="E1516" s="36" t="str">
        <f>IF(SUM(C1516:D1516)=0," ",SUM(C1516:D1516))</f>
        <v xml:space="preserve"> </v>
      </c>
      <c r="F1516" s="14"/>
      <c r="G1516" s="120" t="e">
        <f>VLOOKUP($B1516,Information!$C$8:$F$15,4,FALSE)</f>
        <v>#N/A</v>
      </c>
      <c r="H1516" s="210" t="str">
        <f>TEXT(A1516,"ddd")</f>
        <v>Sat</v>
      </c>
    </row>
    <row r="1517" spans="1:8" x14ac:dyDescent="0.25">
      <c r="A1517" s="13"/>
      <c r="B1517" s="14"/>
      <c r="C1517" s="39"/>
      <c r="D1517" s="39"/>
      <c r="E1517" s="36" t="str">
        <f>IF(SUM(C1517:D1517)=0," ",SUM(C1517:D1517))</f>
        <v xml:space="preserve"> </v>
      </c>
      <c r="F1517" s="14"/>
      <c r="G1517" s="120" t="e">
        <f>VLOOKUP($B1517,Information!$C$8:$F$15,4,FALSE)</f>
        <v>#N/A</v>
      </c>
      <c r="H1517" s="210" t="str">
        <f>TEXT(A1517,"ddd")</f>
        <v>Sat</v>
      </c>
    </row>
    <row r="1518" spans="1:8" x14ac:dyDescent="0.25">
      <c r="A1518" s="13"/>
      <c r="B1518" s="14"/>
      <c r="C1518" s="39"/>
      <c r="D1518" s="39"/>
      <c r="E1518" s="36" t="str">
        <f>IF(SUM(C1518:D1518)=0," ",SUM(C1518:D1518))</f>
        <v xml:space="preserve"> </v>
      </c>
      <c r="F1518" s="14"/>
      <c r="G1518" s="120" t="e">
        <f>VLOOKUP($B1518,Information!$C$8:$F$15,4,FALSE)</f>
        <v>#N/A</v>
      </c>
      <c r="H1518" s="210" t="str">
        <f>TEXT(A1518,"ddd")</f>
        <v>Sat</v>
      </c>
    </row>
    <row r="1519" spans="1:8" x14ac:dyDescent="0.25">
      <c r="A1519" s="13"/>
      <c r="B1519" s="14"/>
      <c r="C1519" s="39"/>
      <c r="D1519" s="39"/>
      <c r="E1519" s="36" t="str">
        <f>IF(SUM(C1519:D1519)=0," ",SUM(C1519:D1519))</f>
        <v xml:space="preserve"> </v>
      </c>
      <c r="F1519" s="14"/>
      <c r="G1519" s="120" t="e">
        <f>VLOOKUP($B1519,Information!$C$8:$F$15,4,FALSE)</f>
        <v>#N/A</v>
      </c>
      <c r="H1519" s="210" t="str">
        <f>TEXT(A1519,"ddd")</f>
        <v>Sat</v>
      </c>
    </row>
    <row r="1520" spans="1:8" x14ac:dyDescent="0.25">
      <c r="A1520" s="13"/>
      <c r="B1520" s="14"/>
      <c r="C1520" s="39"/>
      <c r="D1520" s="39"/>
      <c r="E1520" s="36" t="str">
        <f>IF(SUM(C1520:D1520)=0," ",SUM(C1520:D1520))</f>
        <v xml:space="preserve"> </v>
      </c>
      <c r="F1520" s="14"/>
      <c r="G1520" s="120" t="e">
        <f>VLOOKUP($B1520,Information!$C$8:$F$15,4,FALSE)</f>
        <v>#N/A</v>
      </c>
      <c r="H1520" s="210" t="str">
        <f>TEXT(A1520,"ddd")</f>
        <v>Sat</v>
      </c>
    </row>
    <row r="1521" spans="1:8" x14ac:dyDescent="0.25">
      <c r="A1521" s="13"/>
      <c r="B1521" s="14"/>
      <c r="C1521" s="39"/>
      <c r="D1521" s="39"/>
      <c r="E1521" s="36" t="str">
        <f>IF(SUM(C1521:D1521)=0," ",SUM(C1521:D1521))</f>
        <v xml:space="preserve"> </v>
      </c>
      <c r="F1521" s="14"/>
      <c r="G1521" s="120" t="e">
        <f>VLOOKUP($B1521,Information!$C$8:$F$15,4,FALSE)</f>
        <v>#N/A</v>
      </c>
      <c r="H1521" s="210" t="str">
        <f>TEXT(A1521,"ddd")</f>
        <v>Sat</v>
      </c>
    </row>
    <row r="1522" spans="1:8" x14ac:dyDescent="0.25">
      <c r="A1522" s="13"/>
      <c r="B1522" s="14"/>
      <c r="C1522" s="39"/>
      <c r="D1522" s="39"/>
      <c r="E1522" s="36" t="str">
        <f>IF(SUM(C1522:D1522)=0," ",SUM(C1522:D1522))</f>
        <v xml:space="preserve"> </v>
      </c>
      <c r="F1522" s="14"/>
      <c r="G1522" s="120" t="e">
        <f>VLOOKUP($B1522,Information!$C$8:$F$15,4,FALSE)</f>
        <v>#N/A</v>
      </c>
      <c r="H1522" s="210" t="str">
        <f>TEXT(A1522,"ddd")</f>
        <v>Sat</v>
      </c>
    </row>
    <row r="1523" spans="1:8" x14ac:dyDescent="0.25">
      <c r="A1523" s="13"/>
      <c r="B1523" s="14"/>
      <c r="C1523" s="39"/>
      <c r="D1523" s="39"/>
      <c r="E1523" s="36" t="str">
        <f>IF(SUM(C1523:D1523)=0," ",SUM(C1523:D1523))</f>
        <v xml:space="preserve"> </v>
      </c>
      <c r="F1523" s="14"/>
      <c r="G1523" s="120" t="e">
        <f>VLOOKUP($B1523,Information!$C$8:$F$15,4,FALSE)</f>
        <v>#N/A</v>
      </c>
      <c r="H1523" s="210" t="str">
        <f>TEXT(A1523,"ddd")</f>
        <v>Sat</v>
      </c>
    </row>
    <row r="1524" spans="1:8" x14ac:dyDescent="0.25">
      <c r="A1524" s="13"/>
      <c r="B1524" s="14"/>
      <c r="C1524" s="39"/>
      <c r="D1524" s="39"/>
      <c r="E1524" s="36" t="str">
        <f>IF(SUM(C1524:D1524)=0," ",SUM(C1524:D1524))</f>
        <v xml:space="preserve"> </v>
      </c>
      <c r="F1524" s="14"/>
      <c r="G1524" s="120" t="e">
        <f>VLOOKUP($B1524,Information!$C$8:$F$15,4,FALSE)</f>
        <v>#N/A</v>
      </c>
      <c r="H1524" s="210" t="str">
        <f>TEXT(A1524,"ddd")</f>
        <v>Sat</v>
      </c>
    </row>
    <row r="1525" spans="1:8" x14ac:dyDescent="0.25">
      <c r="A1525" s="13"/>
      <c r="B1525" s="14"/>
      <c r="C1525" s="39"/>
      <c r="D1525" s="39"/>
      <c r="E1525" s="36" t="str">
        <f>IF(SUM(C1525:D1525)=0," ",SUM(C1525:D1525))</f>
        <v xml:space="preserve"> </v>
      </c>
      <c r="F1525" s="14"/>
      <c r="G1525" s="120" t="e">
        <f>VLOOKUP($B1525,Information!$C$8:$F$15,4,FALSE)</f>
        <v>#N/A</v>
      </c>
      <c r="H1525" s="210" t="str">
        <f>TEXT(A1525,"ddd")</f>
        <v>Sat</v>
      </c>
    </row>
    <row r="1526" spans="1:8" x14ac:dyDescent="0.25">
      <c r="A1526" s="13"/>
      <c r="B1526" s="14"/>
      <c r="C1526" s="39"/>
      <c r="D1526" s="39"/>
      <c r="E1526" s="36" t="str">
        <f>IF(SUM(C1526:D1526)=0," ",SUM(C1526:D1526))</f>
        <v xml:space="preserve"> </v>
      </c>
      <c r="F1526" s="14"/>
      <c r="G1526" s="120" t="e">
        <f>VLOOKUP($B1526,Information!$C$8:$F$15,4,FALSE)</f>
        <v>#N/A</v>
      </c>
      <c r="H1526" s="210" t="str">
        <f>TEXT(A1526,"ddd")</f>
        <v>Sat</v>
      </c>
    </row>
    <row r="1527" spans="1:8" x14ac:dyDescent="0.25">
      <c r="A1527" s="13"/>
      <c r="B1527" s="14"/>
      <c r="C1527" s="39"/>
      <c r="D1527" s="39"/>
      <c r="E1527" s="36" t="str">
        <f>IF(SUM(C1527:D1527)=0," ",SUM(C1527:D1527))</f>
        <v xml:space="preserve"> </v>
      </c>
      <c r="F1527" s="14"/>
      <c r="G1527" s="120" t="e">
        <f>VLOOKUP($B1527,Information!$C$8:$F$15,4,FALSE)</f>
        <v>#N/A</v>
      </c>
      <c r="H1527" s="210" t="str">
        <f>TEXT(A1527,"ddd")</f>
        <v>Sat</v>
      </c>
    </row>
    <row r="1528" spans="1:8" x14ac:dyDescent="0.25">
      <c r="A1528" s="13"/>
      <c r="B1528" s="14"/>
      <c r="C1528" s="39"/>
      <c r="D1528" s="39"/>
      <c r="E1528" s="36" t="str">
        <f>IF(SUM(C1528:D1528)=0," ",SUM(C1528:D1528))</f>
        <v xml:space="preserve"> </v>
      </c>
      <c r="F1528" s="14"/>
      <c r="G1528" s="120" t="e">
        <f>VLOOKUP($B1528,Information!$C$8:$F$15,4,FALSE)</f>
        <v>#N/A</v>
      </c>
      <c r="H1528" s="210" t="str">
        <f>TEXT(A1528,"ddd")</f>
        <v>Sat</v>
      </c>
    </row>
    <row r="1529" spans="1:8" x14ac:dyDescent="0.25">
      <c r="A1529" s="13"/>
      <c r="B1529" s="14"/>
      <c r="C1529" s="39"/>
      <c r="D1529" s="39"/>
      <c r="E1529" s="36" t="str">
        <f>IF(SUM(C1529:D1529)=0," ",SUM(C1529:D1529))</f>
        <v xml:space="preserve"> </v>
      </c>
      <c r="F1529" s="14"/>
      <c r="G1529" s="120" t="e">
        <f>VLOOKUP($B1529,Information!$C$8:$F$15,4,FALSE)</f>
        <v>#N/A</v>
      </c>
      <c r="H1529" s="210" t="str">
        <f>TEXT(A1529,"ddd")</f>
        <v>Sat</v>
      </c>
    </row>
    <row r="1530" spans="1:8" x14ac:dyDescent="0.25">
      <c r="A1530" s="13"/>
      <c r="B1530" s="14"/>
      <c r="C1530" s="39"/>
      <c r="D1530" s="39"/>
      <c r="E1530" s="36" t="str">
        <f>IF(SUM(C1530:D1530)=0," ",SUM(C1530:D1530))</f>
        <v xml:space="preserve"> </v>
      </c>
      <c r="F1530" s="14"/>
      <c r="G1530" s="120" t="e">
        <f>VLOOKUP($B1530,Information!$C$8:$F$15,4,FALSE)</f>
        <v>#N/A</v>
      </c>
      <c r="H1530" s="210" t="str">
        <f>TEXT(A1530,"ddd")</f>
        <v>Sat</v>
      </c>
    </row>
    <row r="1531" spans="1:8" x14ac:dyDescent="0.25">
      <c r="A1531" s="13"/>
      <c r="B1531" s="14"/>
      <c r="C1531" s="39"/>
      <c r="D1531" s="39"/>
      <c r="E1531" s="36" t="str">
        <f>IF(SUM(C1531:D1531)=0," ",SUM(C1531:D1531))</f>
        <v xml:space="preserve"> </v>
      </c>
      <c r="F1531" s="14"/>
      <c r="G1531" s="120" t="e">
        <f>VLOOKUP($B1531,Information!$C$8:$F$15,4,FALSE)</f>
        <v>#N/A</v>
      </c>
      <c r="H1531" s="210" t="str">
        <f>TEXT(A1531,"ddd")</f>
        <v>Sat</v>
      </c>
    </row>
    <row r="1532" spans="1:8" x14ac:dyDescent="0.25">
      <c r="A1532" s="13"/>
      <c r="B1532" s="14"/>
      <c r="C1532" s="39"/>
      <c r="D1532" s="39"/>
      <c r="E1532" s="36" t="str">
        <f>IF(SUM(C1532:D1532)=0," ",SUM(C1532:D1532))</f>
        <v xml:space="preserve"> </v>
      </c>
      <c r="F1532" s="14"/>
      <c r="G1532" s="120" t="e">
        <f>VLOOKUP($B1532,Information!$C$8:$F$15,4,FALSE)</f>
        <v>#N/A</v>
      </c>
      <c r="H1532" s="210" t="str">
        <f>TEXT(A1532,"ddd")</f>
        <v>Sat</v>
      </c>
    </row>
    <row r="1533" spans="1:8" x14ac:dyDescent="0.25">
      <c r="A1533" s="13"/>
      <c r="B1533" s="14"/>
      <c r="C1533" s="39"/>
      <c r="D1533" s="39"/>
      <c r="E1533" s="36" t="str">
        <f>IF(SUM(C1533:D1533)=0," ",SUM(C1533:D1533))</f>
        <v xml:space="preserve"> </v>
      </c>
      <c r="F1533" s="14"/>
      <c r="G1533" s="120" t="e">
        <f>VLOOKUP($B1533,Information!$C$8:$F$15,4,FALSE)</f>
        <v>#N/A</v>
      </c>
      <c r="H1533" s="210" t="str">
        <f>TEXT(A1533,"ddd")</f>
        <v>Sat</v>
      </c>
    </row>
    <row r="1534" spans="1:8" x14ac:dyDescent="0.25">
      <c r="A1534" s="13"/>
      <c r="B1534" s="14"/>
      <c r="C1534" s="39"/>
      <c r="D1534" s="39"/>
      <c r="E1534" s="36" t="str">
        <f>IF(SUM(C1534:D1534)=0," ",SUM(C1534:D1534))</f>
        <v xml:space="preserve"> </v>
      </c>
      <c r="F1534" s="14"/>
      <c r="G1534" s="120" t="e">
        <f>VLOOKUP($B1534,Information!$C$8:$F$15,4,FALSE)</f>
        <v>#N/A</v>
      </c>
      <c r="H1534" s="210" t="str">
        <f>TEXT(A1534,"ddd")</f>
        <v>Sat</v>
      </c>
    </row>
    <row r="1535" spans="1:8" x14ac:dyDescent="0.25">
      <c r="A1535" s="13"/>
      <c r="B1535" s="14"/>
      <c r="C1535" s="39"/>
      <c r="D1535" s="39"/>
      <c r="E1535" s="36" t="str">
        <f>IF(SUM(C1535:D1535)=0," ",SUM(C1535:D1535))</f>
        <v xml:space="preserve"> </v>
      </c>
      <c r="F1535" s="14"/>
      <c r="G1535" s="120" t="e">
        <f>VLOOKUP($B1535,Information!$C$8:$F$15,4,FALSE)</f>
        <v>#N/A</v>
      </c>
      <c r="H1535" s="210" t="str">
        <f>TEXT(A1535,"ddd")</f>
        <v>Sat</v>
      </c>
    </row>
    <row r="1536" spans="1:8" x14ac:dyDescent="0.25">
      <c r="A1536" s="13"/>
      <c r="B1536" s="14"/>
      <c r="C1536" s="39"/>
      <c r="D1536" s="39"/>
      <c r="E1536" s="36" t="str">
        <f>IF(SUM(C1536:D1536)=0," ",SUM(C1536:D1536))</f>
        <v xml:space="preserve"> </v>
      </c>
      <c r="F1536" s="14"/>
      <c r="G1536" s="120" t="e">
        <f>VLOOKUP($B1536,Information!$C$8:$F$15,4,FALSE)</f>
        <v>#N/A</v>
      </c>
      <c r="H1536" s="210" t="str">
        <f>TEXT(A1536,"ddd")</f>
        <v>Sat</v>
      </c>
    </row>
    <row r="1537" spans="1:8" x14ac:dyDescent="0.25">
      <c r="A1537" s="13"/>
      <c r="B1537" s="14"/>
      <c r="C1537" s="39"/>
      <c r="D1537" s="39"/>
      <c r="E1537" s="36" t="str">
        <f>IF(SUM(C1537:D1537)=0," ",SUM(C1537:D1537))</f>
        <v xml:space="preserve"> </v>
      </c>
      <c r="F1537" s="14"/>
      <c r="G1537" s="120" t="e">
        <f>VLOOKUP($B1537,Information!$C$8:$F$15,4,FALSE)</f>
        <v>#N/A</v>
      </c>
      <c r="H1537" s="210" t="str">
        <f>TEXT(A1537,"ddd")</f>
        <v>Sat</v>
      </c>
    </row>
    <row r="1538" spans="1:8" x14ac:dyDescent="0.25">
      <c r="A1538" s="13"/>
      <c r="B1538" s="14"/>
      <c r="C1538" s="39"/>
      <c r="D1538" s="39"/>
      <c r="E1538" s="36" t="str">
        <f>IF(SUM(C1538:D1538)=0," ",SUM(C1538:D1538))</f>
        <v xml:space="preserve"> </v>
      </c>
      <c r="F1538" s="14"/>
      <c r="G1538" s="120" t="e">
        <f>VLOOKUP($B1538,Information!$C$8:$F$15,4,FALSE)</f>
        <v>#N/A</v>
      </c>
      <c r="H1538" s="210" t="str">
        <f>TEXT(A1538,"ddd")</f>
        <v>Sat</v>
      </c>
    </row>
    <row r="1539" spans="1:8" x14ac:dyDescent="0.25">
      <c r="A1539" s="13"/>
      <c r="B1539" s="14"/>
      <c r="C1539" s="39"/>
      <c r="D1539" s="39"/>
      <c r="E1539" s="36" t="str">
        <f>IF(SUM(C1539:D1539)=0," ",SUM(C1539:D1539))</f>
        <v xml:space="preserve"> </v>
      </c>
      <c r="F1539" s="14"/>
      <c r="G1539" s="120" t="e">
        <f>VLOOKUP($B1539,Information!$C$8:$F$15,4,FALSE)</f>
        <v>#N/A</v>
      </c>
      <c r="H1539" s="210" t="str">
        <f>TEXT(A1539,"ddd")</f>
        <v>Sat</v>
      </c>
    </row>
    <row r="1540" spans="1:8" x14ac:dyDescent="0.25">
      <c r="A1540" s="13"/>
      <c r="B1540" s="14"/>
      <c r="C1540" s="39"/>
      <c r="D1540" s="39"/>
      <c r="E1540" s="36" t="str">
        <f>IF(SUM(C1540:D1540)=0," ",SUM(C1540:D1540))</f>
        <v xml:space="preserve"> </v>
      </c>
      <c r="F1540" s="14"/>
      <c r="G1540" s="120" t="e">
        <f>VLOOKUP($B1540,Information!$C$8:$F$15,4,FALSE)</f>
        <v>#N/A</v>
      </c>
      <c r="H1540" s="210" t="str">
        <f>TEXT(A1540,"ddd")</f>
        <v>Sat</v>
      </c>
    </row>
    <row r="1541" spans="1:8" x14ac:dyDescent="0.25">
      <c r="A1541" s="13"/>
      <c r="B1541" s="14"/>
      <c r="C1541" s="39"/>
      <c r="D1541" s="39"/>
      <c r="E1541" s="36" t="str">
        <f>IF(SUM(C1541:D1541)=0," ",SUM(C1541:D1541))</f>
        <v xml:space="preserve"> </v>
      </c>
      <c r="F1541" s="14"/>
      <c r="G1541" s="120" t="e">
        <f>VLOOKUP($B1541,Information!$C$8:$F$15,4,FALSE)</f>
        <v>#N/A</v>
      </c>
      <c r="H1541" s="210" t="str">
        <f>TEXT(A1541,"ddd")</f>
        <v>Sat</v>
      </c>
    </row>
    <row r="1542" spans="1:8" x14ac:dyDescent="0.25">
      <c r="A1542" s="13"/>
      <c r="B1542" s="14"/>
      <c r="C1542" s="39"/>
      <c r="D1542" s="39"/>
      <c r="E1542" s="36" t="str">
        <f>IF(SUM(C1542:D1542)=0," ",SUM(C1542:D1542))</f>
        <v xml:space="preserve"> </v>
      </c>
      <c r="F1542" s="14"/>
      <c r="G1542" s="120" t="e">
        <f>VLOOKUP($B1542,Information!$C$8:$F$15,4,FALSE)</f>
        <v>#N/A</v>
      </c>
      <c r="H1542" s="210" t="str">
        <f>TEXT(A1542,"ddd")</f>
        <v>Sat</v>
      </c>
    </row>
    <row r="1543" spans="1:8" x14ac:dyDescent="0.25">
      <c r="A1543" s="13"/>
      <c r="B1543" s="14"/>
      <c r="C1543" s="39"/>
      <c r="D1543" s="39"/>
      <c r="E1543" s="36" t="str">
        <f>IF(SUM(C1543:D1543)=0," ",SUM(C1543:D1543))</f>
        <v xml:space="preserve"> </v>
      </c>
      <c r="F1543" s="14"/>
      <c r="G1543" s="120" t="e">
        <f>VLOOKUP($B1543,Information!$C$8:$F$15,4,FALSE)</f>
        <v>#N/A</v>
      </c>
      <c r="H1543" s="210" t="str">
        <f>TEXT(A1543,"ddd")</f>
        <v>Sat</v>
      </c>
    </row>
    <row r="1544" spans="1:8" x14ac:dyDescent="0.25">
      <c r="A1544" s="13"/>
      <c r="B1544" s="14"/>
      <c r="C1544" s="39"/>
      <c r="D1544" s="39"/>
      <c r="E1544" s="36" t="str">
        <f>IF(SUM(C1544:D1544)=0," ",SUM(C1544:D1544))</f>
        <v xml:space="preserve"> </v>
      </c>
      <c r="F1544" s="14"/>
      <c r="G1544" s="120" t="e">
        <f>VLOOKUP($B1544,Information!$C$8:$F$15,4,FALSE)</f>
        <v>#N/A</v>
      </c>
      <c r="H1544" s="210" t="str">
        <f>TEXT(A1544,"ddd")</f>
        <v>Sat</v>
      </c>
    </row>
    <row r="1545" spans="1:8" x14ac:dyDescent="0.25">
      <c r="A1545" s="13"/>
      <c r="B1545" s="14"/>
      <c r="C1545" s="39"/>
      <c r="D1545" s="39"/>
      <c r="E1545" s="36" t="str">
        <f>IF(SUM(C1545:D1545)=0," ",SUM(C1545:D1545))</f>
        <v xml:space="preserve"> </v>
      </c>
      <c r="F1545" s="14"/>
      <c r="G1545" s="120" t="e">
        <f>VLOOKUP($B1545,Information!$C$8:$F$15,4,FALSE)</f>
        <v>#N/A</v>
      </c>
      <c r="H1545" s="210" t="str">
        <f>TEXT(A1545,"ddd")</f>
        <v>Sat</v>
      </c>
    </row>
    <row r="1546" spans="1:8" x14ac:dyDescent="0.25">
      <c r="A1546" s="13"/>
      <c r="B1546" s="14"/>
      <c r="C1546" s="39"/>
      <c r="D1546" s="39"/>
      <c r="E1546" s="36" t="str">
        <f>IF(SUM(C1546:D1546)=0," ",SUM(C1546:D1546))</f>
        <v xml:space="preserve"> </v>
      </c>
      <c r="F1546" s="14"/>
      <c r="G1546" s="120" t="e">
        <f>VLOOKUP($B1546,Information!$C$8:$F$15,4,FALSE)</f>
        <v>#N/A</v>
      </c>
      <c r="H1546" s="210" t="str">
        <f>TEXT(A1546,"ddd")</f>
        <v>Sat</v>
      </c>
    </row>
    <row r="1547" spans="1:8" x14ac:dyDescent="0.25">
      <c r="A1547" s="13"/>
      <c r="B1547" s="14"/>
      <c r="C1547" s="39"/>
      <c r="D1547" s="39"/>
      <c r="E1547" s="36" t="str">
        <f>IF(SUM(C1547:D1547)=0," ",SUM(C1547:D1547))</f>
        <v xml:space="preserve"> </v>
      </c>
      <c r="F1547" s="14"/>
      <c r="G1547" s="120" t="e">
        <f>VLOOKUP($B1547,Information!$C$8:$F$15,4,FALSE)</f>
        <v>#N/A</v>
      </c>
      <c r="H1547" s="210" t="str">
        <f>TEXT(A1547,"ddd")</f>
        <v>Sat</v>
      </c>
    </row>
    <row r="1548" spans="1:8" x14ac:dyDescent="0.25">
      <c r="A1548" s="13"/>
      <c r="B1548" s="14"/>
      <c r="C1548" s="39"/>
      <c r="D1548" s="39"/>
      <c r="E1548" s="36" t="str">
        <f>IF(SUM(C1548:D1548)=0," ",SUM(C1548:D1548))</f>
        <v xml:space="preserve"> </v>
      </c>
      <c r="F1548" s="14"/>
      <c r="G1548" s="120" t="e">
        <f>VLOOKUP($B1548,Information!$C$8:$F$15,4,FALSE)</f>
        <v>#N/A</v>
      </c>
      <c r="H1548" s="210" t="str">
        <f>TEXT(A1548,"ddd")</f>
        <v>Sat</v>
      </c>
    </row>
    <row r="1549" spans="1:8" x14ac:dyDescent="0.25">
      <c r="A1549" s="13"/>
      <c r="B1549" s="14"/>
      <c r="C1549" s="39"/>
      <c r="D1549" s="39"/>
      <c r="E1549" s="36" t="str">
        <f>IF(SUM(C1549:D1549)=0," ",SUM(C1549:D1549))</f>
        <v xml:space="preserve"> </v>
      </c>
      <c r="F1549" s="14"/>
      <c r="G1549" s="120" t="e">
        <f>VLOOKUP($B1549,Information!$C$8:$F$15,4,FALSE)</f>
        <v>#N/A</v>
      </c>
      <c r="H1549" s="210" t="str">
        <f>TEXT(A1549,"ddd")</f>
        <v>Sat</v>
      </c>
    </row>
    <row r="1550" spans="1:8" x14ac:dyDescent="0.25">
      <c r="A1550" s="13"/>
      <c r="B1550" s="14"/>
      <c r="C1550" s="39"/>
      <c r="D1550" s="39"/>
      <c r="E1550" s="36" t="str">
        <f>IF(SUM(C1550:D1550)=0," ",SUM(C1550:D1550))</f>
        <v xml:space="preserve"> </v>
      </c>
      <c r="F1550" s="14"/>
      <c r="G1550" s="120" t="e">
        <f>VLOOKUP($B1550,Information!$C$8:$F$15,4,FALSE)</f>
        <v>#N/A</v>
      </c>
      <c r="H1550" s="210" t="str">
        <f>TEXT(A1550,"ddd")</f>
        <v>Sat</v>
      </c>
    </row>
    <row r="1551" spans="1:8" x14ac:dyDescent="0.25">
      <c r="A1551" s="13"/>
      <c r="B1551" s="14"/>
      <c r="C1551" s="39"/>
      <c r="D1551" s="39"/>
      <c r="E1551" s="36" t="str">
        <f>IF(SUM(C1551:D1551)=0," ",SUM(C1551:D1551))</f>
        <v xml:space="preserve"> </v>
      </c>
      <c r="F1551" s="14"/>
      <c r="G1551" s="120" t="e">
        <f>VLOOKUP($B1551,Information!$C$8:$F$15,4,FALSE)</f>
        <v>#N/A</v>
      </c>
      <c r="H1551" s="210" t="str">
        <f>TEXT(A1551,"ddd")</f>
        <v>Sat</v>
      </c>
    </row>
    <row r="1552" spans="1:8" x14ac:dyDescent="0.25">
      <c r="A1552" s="13"/>
      <c r="B1552" s="14"/>
      <c r="C1552" s="39"/>
      <c r="D1552" s="39"/>
      <c r="E1552" s="36" t="str">
        <f>IF(SUM(C1552:D1552)=0," ",SUM(C1552:D1552))</f>
        <v xml:space="preserve"> </v>
      </c>
      <c r="F1552" s="14"/>
      <c r="G1552" s="120" t="e">
        <f>VLOOKUP($B1552,Information!$C$8:$F$15,4,FALSE)</f>
        <v>#N/A</v>
      </c>
      <c r="H1552" s="210" t="str">
        <f>TEXT(A1552,"ddd")</f>
        <v>Sat</v>
      </c>
    </row>
    <row r="1553" spans="1:8" x14ac:dyDescent="0.25">
      <c r="A1553" s="13"/>
      <c r="B1553" s="14"/>
      <c r="C1553" s="39"/>
      <c r="D1553" s="39"/>
      <c r="E1553" s="36" t="str">
        <f>IF(SUM(C1553:D1553)=0," ",SUM(C1553:D1553))</f>
        <v xml:space="preserve"> </v>
      </c>
      <c r="F1553" s="14"/>
      <c r="G1553" s="120" t="e">
        <f>VLOOKUP($B1553,Information!$C$8:$F$15,4,FALSE)</f>
        <v>#N/A</v>
      </c>
      <c r="H1553" s="210" t="str">
        <f>TEXT(A1553,"ddd")</f>
        <v>Sat</v>
      </c>
    </row>
    <row r="1554" spans="1:8" x14ac:dyDescent="0.25">
      <c r="A1554" s="13"/>
      <c r="B1554" s="14"/>
      <c r="C1554" s="39"/>
      <c r="D1554" s="39"/>
      <c r="E1554" s="36" t="str">
        <f>IF(SUM(C1554:D1554)=0," ",SUM(C1554:D1554))</f>
        <v xml:space="preserve"> </v>
      </c>
      <c r="F1554" s="14"/>
      <c r="G1554" s="120" t="e">
        <f>VLOOKUP($B1554,Information!$C$8:$F$15,4,FALSE)</f>
        <v>#N/A</v>
      </c>
      <c r="H1554" s="210" t="str">
        <f>TEXT(A1554,"ddd")</f>
        <v>Sat</v>
      </c>
    </row>
    <row r="1555" spans="1:8" x14ac:dyDescent="0.25">
      <c r="A1555" s="13"/>
      <c r="B1555" s="14"/>
      <c r="C1555" s="39"/>
      <c r="D1555" s="39"/>
      <c r="E1555" s="36" t="str">
        <f>IF(SUM(C1555:D1555)=0," ",SUM(C1555:D1555))</f>
        <v xml:space="preserve"> </v>
      </c>
      <c r="F1555" s="14"/>
      <c r="G1555" s="120" t="e">
        <f>VLOOKUP($B1555,Information!$C$8:$F$15,4,FALSE)</f>
        <v>#N/A</v>
      </c>
      <c r="H1555" s="210" t="str">
        <f>TEXT(A1555,"ddd")</f>
        <v>Sat</v>
      </c>
    </row>
    <row r="1556" spans="1:8" x14ac:dyDescent="0.25">
      <c r="A1556" s="13"/>
      <c r="B1556" s="14"/>
      <c r="C1556" s="39"/>
      <c r="D1556" s="39"/>
      <c r="E1556" s="36" t="str">
        <f>IF(SUM(C1556:D1556)=0," ",SUM(C1556:D1556))</f>
        <v xml:space="preserve"> </v>
      </c>
      <c r="F1556" s="14"/>
      <c r="G1556" s="120" t="e">
        <f>VLOOKUP($B1556,Information!$C$8:$F$15,4,FALSE)</f>
        <v>#N/A</v>
      </c>
      <c r="H1556" s="210" t="str">
        <f>TEXT(A1556,"ddd")</f>
        <v>Sat</v>
      </c>
    </row>
    <row r="1557" spans="1:8" x14ac:dyDescent="0.25">
      <c r="A1557" s="13"/>
      <c r="B1557" s="14"/>
      <c r="C1557" s="39"/>
      <c r="D1557" s="39"/>
      <c r="E1557" s="36" t="str">
        <f>IF(SUM(C1557:D1557)=0," ",SUM(C1557:D1557))</f>
        <v xml:space="preserve"> </v>
      </c>
      <c r="F1557" s="14"/>
      <c r="G1557" s="120" t="e">
        <f>VLOOKUP($B1557,Information!$C$8:$F$15,4,FALSE)</f>
        <v>#N/A</v>
      </c>
      <c r="H1557" s="210" t="str">
        <f>TEXT(A1557,"ddd")</f>
        <v>Sat</v>
      </c>
    </row>
    <row r="1558" spans="1:8" x14ac:dyDescent="0.25">
      <c r="A1558" s="13"/>
      <c r="B1558" s="14"/>
      <c r="C1558" s="39"/>
      <c r="D1558" s="39"/>
      <c r="E1558" s="36" t="str">
        <f>IF(SUM(C1558:D1558)=0," ",SUM(C1558:D1558))</f>
        <v xml:space="preserve"> </v>
      </c>
      <c r="F1558" s="14"/>
      <c r="G1558" s="120" t="e">
        <f>VLOOKUP($B1558,Information!$C$8:$F$15,4,FALSE)</f>
        <v>#N/A</v>
      </c>
      <c r="H1558" s="210" t="str">
        <f>TEXT(A1558,"ddd")</f>
        <v>Sat</v>
      </c>
    </row>
    <row r="1559" spans="1:8" x14ac:dyDescent="0.25">
      <c r="A1559" s="13"/>
      <c r="B1559" s="14"/>
      <c r="C1559" s="39"/>
      <c r="D1559" s="39"/>
      <c r="E1559" s="36" t="str">
        <f>IF(SUM(C1559:D1559)=0," ",SUM(C1559:D1559))</f>
        <v xml:space="preserve"> </v>
      </c>
      <c r="F1559" s="14"/>
      <c r="G1559" s="120" t="e">
        <f>VLOOKUP($B1559,Information!$C$8:$F$15,4,FALSE)</f>
        <v>#N/A</v>
      </c>
      <c r="H1559" s="210" t="str">
        <f>TEXT(A1559,"ddd")</f>
        <v>Sat</v>
      </c>
    </row>
    <row r="1560" spans="1:8" x14ac:dyDescent="0.25">
      <c r="A1560" s="13"/>
      <c r="B1560" s="14"/>
      <c r="C1560" s="39"/>
      <c r="D1560" s="39"/>
      <c r="E1560" s="36" t="str">
        <f>IF(SUM(C1560:D1560)=0," ",SUM(C1560:D1560))</f>
        <v xml:space="preserve"> </v>
      </c>
      <c r="F1560" s="14"/>
      <c r="G1560" s="120" t="e">
        <f>VLOOKUP($B1560,Information!$C$8:$F$15,4,FALSE)</f>
        <v>#N/A</v>
      </c>
      <c r="H1560" s="210" t="str">
        <f>TEXT(A1560,"ddd")</f>
        <v>Sat</v>
      </c>
    </row>
    <row r="1561" spans="1:8" x14ac:dyDescent="0.25">
      <c r="A1561" s="13"/>
      <c r="B1561" s="14"/>
      <c r="C1561" s="39"/>
      <c r="D1561" s="39"/>
      <c r="E1561" s="36" t="str">
        <f>IF(SUM(C1561:D1561)=0," ",SUM(C1561:D1561))</f>
        <v xml:space="preserve"> </v>
      </c>
      <c r="F1561" s="14"/>
      <c r="G1561" s="120" t="e">
        <f>VLOOKUP($B1561,Information!$C$8:$F$15,4,FALSE)</f>
        <v>#N/A</v>
      </c>
      <c r="H1561" s="210" t="str">
        <f>TEXT(A1561,"ddd")</f>
        <v>Sat</v>
      </c>
    </row>
    <row r="1562" spans="1:8" x14ac:dyDescent="0.25">
      <c r="A1562" s="13"/>
      <c r="B1562" s="14"/>
      <c r="C1562" s="39"/>
      <c r="D1562" s="39"/>
      <c r="E1562" s="36" t="str">
        <f>IF(SUM(C1562:D1562)=0," ",SUM(C1562:D1562))</f>
        <v xml:space="preserve"> </v>
      </c>
      <c r="F1562" s="14"/>
      <c r="G1562" s="120" t="e">
        <f>VLOOKUP($B1562,Information!$C$8:$F$15,4,FALSE)</f>
        <v>#N/A</v>
      </c>
      <c r="H1562" s="210" t="str">
        <f>TEXT(A1562,"ddd")</f>
        <v>Sat</v>
      </c>
    </row>
    <row r="1563" spans="1:8" x14ac:dyDescent="0.25">
      <c r="A1563" s="13"/>
      <c r="B1563" s="14"/>
      <c r="C1563" s="39"/>
      <c r="D1563" s="39"/>
      <c r="E1563" s="36" t="str">
        <f>IF(SUM(C1563:D1563)=0," ",SUM(C1563:D1563))</f>
        <v xml:space="preserve"> </v>
      </c>
      <c r="F1563" s="14"/>
      <c r="G1563" s="120" t="e">
        <f>VLOOKUP($B1563,Information!$C$8:$F$15,4,FALSE)</f>
        <v>#N/A</v>
      </c>
      <c r="H1563" s="210" t="str">
        <f>TEXT(A1563,"ddd")</f>
        <v>Sat</v>
      </c>
    </row>
    <row r="1564" spans="1:8" x14ac:dyDescent="0.25">
      <c r="A1564" s="13"/>
      <c r="B1564" s="14"/>
      <c r="C1564" s="39"/>
      <c r="D1564" s="39"/>
      <c r="E1564" s="36" t="str">
        <f>IF(SUM(C1564:D1564)=0," ",SUM(C1564:D1564))</f>
        <v xml:space="preserve"> </v>
      </c>
      <c r="F1564" s="14"/>
      <c r="G1564" s="120" t="e">
        <f>VLOOKUP($B1564,Information!$C$8:$F$15,4,FALSE)</f>
        <v>#N/A</v>
      </c>
      <c r="H1564" s="210" t="str">
        <f>TEXT(A1564,"ddd")</f>
        <v>Sat</v>
      </c>
    </row>
    <row r="1565" spans="1:8" x14ac:dyDescent="0.25">
      <c r="A1565" s="13"/>
      <c r="B1565" s="14"/>
      <c r="C1565" s="39"/>
      <c r="D1565" s="39"/>
      <c r="E1565" s="36" t="str">
        <f>IF(SUM(C1565:D1565)=0," ",SUM(C1565:D1565))</f>
        <v xml:space="preserve"> </v>
      </c>
      <c r="F1565" s="14"/>
      <c r="G1565" s="120" t="e">
        <f>VLOOKUP($B1565,Information!$C$8:$F$15,4,FALSE)</f>
        <v>#N/A</v>
      </c>
      <c r="H1565" s="210" t="str">
        <f>TEXT(A1565,"ddd")</f>
        <v>Sat</v>
      </c>
    </row>
    <row r="1566" spans="1:8" x14ac:dyDescent="0.25">
      <c r="A1566" s="13"/>
      <c r="B1566" s="14"/>
      <c r="C1566" s="39"/>
      <c r="D1566" s="39"/>
      <c r="E1566" s="36" t="str">
        <f>IF(SUM(C1566:D1566)=0," ",SUM(C1566:D1566))</f>
        <v xml:space="preserve"> </v>
      </c>
      <c r="F1566" s="14"/>
      <c r="G1566" s="120" t="e">
        <f>VLOOKUP($B1566,Information!$C$8:$F$15,4,FALSE)</f>
        <v>#N/A</v>
      </c>
      <c r="H1566" s="210" t="str">
        <f>TEXT(A1566,"ddd")</f>
        <v>Sat</v>
      </c>
    </row>
    <row r="1567" spans="1:8" x14ac:dyDescent="0.25">
      <c r="A1567" s="13"/>
      <c r="B1567" s="14"/>
      <c r="C1567" s="39"/>
      <c r="D1567" s="39"/>
      <c r="E1567" s="36" t="str">
        <f>IF(SUM(C1567:D1567)=0," ",SUM(C1567:D1567))</f>
        <v xml:space="preserve"> </v>
      </c>
      <c r="F1567" s="14"/>
      <c r="G1567" s="120" t="e">
        <f>VLOOKUP($B1567,Information!$C$8:$F$15,4,FALSE)</f>
        <v>#N/A</v>
      </c>
      <c r="H1567" s="210" t="str">
        <f>TEXT(A1567,"ddd")</f>
        <v>Sat</v>
      </c>
    </row>
    <row r="1568" spans="1:8" x14ac:dyDescent="0.25">
      <c r="A1568" s="13"/>
      <c r="B1568" s="14"/>
      <c r="C1568" s="39"/>
      <c r="D1568" s="39"/>
      <c r="E1568" s="36" t="str">
        <f>IF(SUM(C1568:D1568)=0," ",SUM(C1568:D1568))</f>
        <v xml:space="preserve"> </v>
      </c>
      <c r="F1568" s="14"/>
      <c r="G1568" s="120" t="e">
        <f>VLOOKUP($B1568,Information!$C$8:$F$15,4,FALSE)</f>
        <v>#N/A</v>
      </c>
      <c r="H1568" s="210" t="str">
        <f>TEXT(A1568,"ddd")</f>
        <v>Sat</v>
      </c>
    </row>
    <row r="1569" spans="1:8" x14ac:dyDescent="0.25">
      <c r="A1569" s="13"/>
      <c r="B1569" s="14"/>
      <c r="C1569" s="39"/>
      <c r="D1569" s="39"/>
      <c r="E1569" s="36" t="str">
        <f>IF(SUM(C1569:D1569)=0," ",SUM(C1569:D1569))</f>
        <v xml:space="preserve"> </v>
      </c>
      <c r="F1569" s="14"/>
      <c r="G1569" s="120" t="e">
        <f>VLOOKUP($B1569,Information!$C$8:$F$15,4,FALSE)</f>
        <v>#N/A</v>
      </c>
      <c r="H1569" s="210" t="str">
        <f>TEXT(A1569,"ddd")</f>
        <v>Sat</v>
      </c>
    </row>
    <row r="1570" spans="1:8" x14ac:dyDescent="0.25">
      <c r="A1570" s="13"/>
      <c r="B1570" s="14"/>
      <c r="C1570" s="39"/>
      <c r="D1570" s="39"/>
      <c r="E1570" s="36" t="str">
        <f>IF(SUM(C1570:D1570)=0," ",SUM(C1570:D1570))</f>
        <v xml:space="preserve"> </v>
      </c>
      <c r="F1570" s="14"/>
      <c r="G1570" s="120" t="e">
        <f>VLOOKUP($B1570,Information!$C$8:$F$15,4,FALSE)</f>
        <v>#N/A</v>
      </c>
      <c r="H1570" s="210" t="str">
        <f>TEXT(A1570,"ddd")</f>
        <v>Sat</v>
      </c>
    </row>
    <row r="1571" spans="1:8" x14ac:dyDescent="0.25">
      <c r="A1571" s="13"/>
      <c r="B1571" s="14"/>
      <c r="C1571" s="39"/>
      <c r="D1571" s="39"/>
      <c r="E1571" s="36" t="str">
        <f>IF(SUM(C1571:D1571)=0," ",SUM(C1571:D1571))</f>
        <v xml:space="preserve"> </v>
      </c>
      <c r="F1571" s="14"/>
      <c r="G1571" s="120" t="e">
        <f>VLOOKUP($B1571,Information!$C$8:$F$15,4,FALSE)</f>
        <v>#N/A</v>
      </c>
      <c r="H1571" s="210" t="str">
        <f>TEXT(A1571,"ddd")</f>
        <v>Sat</v>
      </c>
    </row>
    <row r="1572" spans="1:8" x14ac:dyDescent="0.25">
      <c r="A1572" s="13"/>
      <c r="B1572" s="14"/>
      <c r="C1572" s="39"/>
      <c r="D1572" s="39"/>
      <c r="E1572" s="36" t="str">
        <f>IF(SUM(C1572:D1572)=0," ",SUM(C1572:D1572))</f>
        <v xml:space="preserve"> </v>
      </c>
      <c r="F1572" s="14"/>
      <c r="G1572" s="120" t="e">
        <f>VLOOKUP($B1572,Information!$C$8:$F$15,4,FALSE)</f>
        <v>#N/A</v>
      </c>
      <c r="H1572" s="210" t="str">
        <f>TEXT(A1572,"ddd")</f>
        <v>Sat</v>
      </c>
    </row>
    <row r="1573" spans="1:8" x14ac:dyDescent="0.25">
      <c r="A1573" s="13"/>
      <c r="B1573" s="14"/>
      <c r="C1573" s="39"/>
      <c r="D1573" s="39"/>
      <c r="E1573" s="36" t="str">
        <f>IF(SUM(C1573:D1573)=0," ",SUM(C1573:D1573))</f>
        <v xml:space="preserve"> </v>
      </c>
      <c r="F1573" s="14"/>
      <c r="G1573" s="120" t="e">
        <f>VLOOKUP($B1573,Information!$C$8:$F$15,4,FALSE)</f>
        <v>#N/A</v>
      </c>
      <c r="H1573" s="210" t="str">
        <f>TEXT(A1573,"ddd")</f>
        <v>Sat</v>
      </c>
    </row>
    <row r="1574" spans="1:8" x14ac:dyDescent="0.25">
      <c r="A1574" s="13"/>
      <c r="B1574" s="14"/>
      <c r="C1574" s="39"/>
      <c r="D1574" s="39"/>
      <c r="E1574" s="36" t="str">
        <f>IF(SUM(C1574:D1574)=0," ",SUM(C1574:D1574))</f>
        <v xml:space="preserve"> </v>
      </c>
      <c r="F1574" s="14"/>
      <c r="G1574" s="120" t="e">
        <f>VLOOKUP($B1574,Information!$C$8:$F$15,4,FALSE)</f>
        <v>#N/A</v>
      </c>
      <c r="H1574" s="210" t="str">
        <f>TEXT(A1574,"ddd")</f>
        <v>Sat</v>
      </c>
    </row>
    <row r="1575" spans="1:8" x14ac:dyDescent="0.25">
      <c r="A1575" s="13"/>
      <c r="B1575" s="14"/>
      <c r="C1575" s="39"/>
      <c r="D1575" s="39"/>
      <c r="E1575" s="36" t="str">
        <f>IF(SUM(C1575:D1575)=0," ",SUM(C1575:D1575))</f>
        <v xml:space="preserve"> </v>
      </c>
      <c r="F1575" s="14"/>
      <c r="G1575" s="120" t="e">
        <f>VLOOKUP($B1575,Information!$C$8:$F$15,4,FALSE)</f>
        <v>#N/A</v>
      </c>
      <c r="H1575" s="210" t="str">
        <f>TEXT(A1575,"ddd")</f>
        <v>Sat</v>
      </c>
    </row>
    <row r="1576" spans="1:8" x14ac:dyDescent="0.25">
      <c r="A1576" s="13"/>
      <c r="B1576" s="14"/>
      <c r="C1576" s="39"/>
      <c r="D1576" s="39"/>
      <c r="E1576" s="36" t="str">
        <f>IF(SUM(C1576:D1576)=0," ",SUM(C1576:D1576))</f>
        <v xml:space="preserve"> </v>
      </c>
      <c r="F1576" s="14"/>
      <c r="G1576" s="120" t="e">
        <f>VLOOKUP($B1576,Information!$C$8:$F$15,4,FALSE)</f>
        <v>#N/A</v>
      </c>
      <c r="H1576" s="210" t="str">
        <f>TEXT(A1576,"ddd")</f>
        <v>Sat</v>
      </c>
    </row>
    <row r="1577" spans="1:8" x14ac:dyDescent="0.25">
      <c r="A1577" s="13"/>
      <c r="B1577" s="14"/>
      <c r="C1577" s="39"/>
      <c r="D1577" s="39"/>
      <c r="E1577" s="36" t="str">
        <f>IF(SUM(C1577:D1577)=0," ",SUM(C1577:D1577))</f>
        <v xml:space="preserve"> </v>
      </c>
      <c r="F1577" s="14"/>
      <c r="G1577" s="120" t="e">
        <f>VLOOKUP($B1577,Information!$C$8:$F$15,4,FALSE)</f>
        <v>#N/A</v>
      </c>
      <c r="H1577" s="210" t="str">
        <f>TEXT(A1577,"ddd")</f>
        <v>Sat</v>
      </c>
    </row>
    <row r="1578" spans="1:8" x14ac:dyDescent="0.25">
      <c r="A1578" s="13"/>
      <c r="B1578" s="14"/>
      <c r="C1578" s="39"/>
      <c r="D1578" s="39"/>
      <c r="E1578" s="36" t="str">
        <f>IF(SUM(C1578:D1578)=0," ",SUM(C1578:D1578))</f>
        <v xml:space="preserve"> </v>
      </c>
      <c r="F1578" s="14"/>
      <c r="G1578" s="120" t="e">
        <f>VLOOKUP($B1578,Information!$C$8:$F$15,4,FALSE)</f>
        <v>#N/A</v>
      </c>
      <c r="H1578" s="210" t="str">
        <f>TEXT(A1578,"ddd")</f>
        <v>Sat</v>
      </c>
    </row>
    <row r="1579" spans="1:8" x14ac:dyDescent="0.25">
      <c r="A1579" s="13"/>
      <c r="B1579" s="14"/>
      <c r="C1579" s="39"/>
      <c r="D1579" s="39"/>
      <c r="E1579" s="36" t="str">
        <f>IF(SUM(C1579:D1579)=0," ",SUM(C1579:D1579))</f>
        <v xml:space="preserve"> </v>
      </c>
      <c r="F1579" s="14"/>
      <c r="G1579" s="120" t="e">
        <f>VLOOKUP($B1579,Information!$C$8:$F$15,4,FALSE)</f>
        <v>#N/A</v>
      </c>
      <c r="H1579" s="210" t="str">
        <f>TEXT(A1579,"ddd")</f>
        <v>Sat</v>
      </c>
    </row>
    <row r="1580" spans="1:8" x14ac:dyDescent="0.25">
      <c r="A1580" s="13"/>
      <c r="B1580" s="14"/>
      <c r="C1580" s="39"/>
      <c r="D1580" s="39"/>
      <c r="E1580" s="36" t="str">
        <f>IF(SUM(C1580:D1580)=0," ",SUM(C1580:D1580))</f>
        <v xml:space="preserve"> </v>
      </c>
      <c r="F1580" s="14"/>
      <c r="G1580" s="120" t="e">
        <f>VLOOKUP($B1580,Information!$C$8:$F$15,4,FALSE)</f>
        <v>#N/A</v>
      </c>
      <c r="H1580" s="210" t="str">
        <f>TEXT(A1580,"ddd")</f>
        <v>Sat</v>
      </c>
    </row>
    <row r="1581" spans="1:8" x14ac:dyDescent="0.25">
      <c r="A1581" s="13"/>
      <c r="B1581" s="14"/>
      <c r="C1581" s="39"/>
      <c r="D1581" s="39"/>
      <c r="E1581" s="36" t="str">
        <f>IF(SUM(C1581:D1581)=0," ",SUM(C1581:D1581))</f>
        <v xml:space="preserve"> </v>
      </c>
      <c r="F1581" s="14"/>
      <c r="G1581" s="120" t="e">
        <f>VLOOKUP($B1581,Information!$C$8:$F$15,4,FALSE)</f>
        <v>#N/A</v>
      </c>
      <c r="H1581" s="210" t="str">
        <f>TEXT(A1581,"ddd")</f>
        <v>Sat</v>
      </c>
    </row>
    <row r="1582" spans="1:8" x14ac:dyDescent="0.25">
      <c r="A1582" s="13"/>
      <c r="B1582" s="14"/>
      <c r="C1582" s="39"/>
      <c r="D1582" s="39"/>
      <c r="E1582" s="36" t="str">
        <f>IF(SUM(C1582:D1582)=0," ",SUM(C1582:D1582))</f>
        <v xml:space="preserve"> </v>
      </c>
      <c r="F1582" s="14"/>
      <c r="G1582" s="120" t="e">
        <f>VLOOKUP($B1582,Information!$C$8:$F$15,4,FALSE)</f>
        <v>#N/A</v>
      </c>
      <c r="H1582" s="210" t="str">
        <f>TEXT(A1582,"ddd")</f>
        <v>Sat</v>
      </c>
    </row>
    <row r="1583" spans="1:8" x14ac:dyDescent="0.25">
      <c r="A1583" s="13"/>
      <c r="B1583" s="14"/>
      <c r="C1583" s="39"/>
      <c r="D1583" s="39"/>
      <c r="E1583" s="36" t="str">
        <f>IF(SUM(C1583:D1583)=0," ",SUM(C1583:D1583))</f>
        <v xml:space="preserve"> </v>
      </c>
      <c r="F1583" s="14"/>
      <c r="G1583" s="120" t="e">
        <f>VLOOKUP($B1583,Information!$C$8:$F$15,4,FALSE)</f>
        <v>#N/A</v>
      </c>
      <c r="H1583" s="210" t="str">
        <f>TEXT(A1583,"ddd")</f>
        <v>Sat</v>
      </c>
    </row>
    <row r="1584" spans="1:8" x14ac:dyDescent="0.25">
      <c r="A1584" s="13"/>
      <c r="B1584" s="14"/>
      <c r="C1584" s="39"/>
      <c r="D1584" s="39"/>
      <c r="E1584" s="36" t="str">
        <f>IF(SUM(C1584:D1584)=0," ",SUM(C1584:D1584))</f>
        <v xml:space="preserve"> </v>
      </c>
      <c r="F1584" s="14"/>
      <c r="G1584" s="120" t="e">
        <f>VLOOKUP($B1584,Information!$C$8:$F$15,4,FALSE)</f>
        <v>#N/A</v>
      </c>
      <c r="H1584" s="210" t="str">
        <f>TEXT(A1584,"ddd")</f>
        <v>Sat</v>
      </c>
    </row>
    <row r="1585" spans="1:8" x14ac:dyDescent="0.25">
      <c r="A1585" s="13"/>
      <c r="B1585" s="14"/>
      <c r="C1585" s="39"/>
      <c r="D1585" s="39"/>
      <c r="E1585" s="36" t="str">
        <f>IF(SUM(C1585:D1585)=0," ",SUM(C1585:D1585))</f>
        <v xml:space="preserve"> </v>
      </c>
      <c r="F1585" s="14"/>
      <c r="G1585" s="120" t="e">
        <f>VLOOKUP($B1585,Information!$C$8:$F$15,4,FALSE)</f>
        <v>#N/A</v>
      </c>
      <c r="H1585" s="210" t="str">
        <f>TEXT(A1585,"ddd")</f>
        <v>Sat</v>
      </c>
    </row>
    <row r="1586" spans="1:8" x14ac:dyDescent="0.25">
      <c r="A1586" s="13"/>
      <c r="B1586" s="14"/>
      <c r="C1586" s="39"/>
      <c r="D1586" s="39"/>
      <c r="E1586" s="36" t="str">
        <f>IF(SUM(C1586:D1586)=0," ",SUM(C1586:D1586))</f>
        <v xml:space="preserve"> </v>
      </c>
      <c r="F1586" s="14"/>
      <c r="G1586" s="120" t="e">
        <f>VLOOKUP($B1586,Information!$C$8:$F$15,4,FALSE)</f>
        <v>#N/A</v>
      </c>
      <c r="H1586" s="210" t="str">
        <f>TEXT(A1586,"ddd")</f>
        <v>Sat</v>
      </c>
    </row>
    <row r="1587" spans="1:8" x14ac:dyDescent="0.25">
      <c r="A1587" s="13"/>
      <c r="B1587" s="14"/>
      <c r="C1587" s="39"/>
      <c r="D1587" s="39"/>
      <c r="E1587" s="36" t="str">
        <f>IF(SUM(C1587:D1587)=0," ",SUM(C1587:D1587))</f>
        <v xml:space="preserve"> </v>
      </c>
      <c r="F1587" s="14"/>
      <c r="G1587" s="120" t="e">
        <f>VLOOKUP($B1587,Information!$C$8:$F$15,4,FALSE)</f>
        <v>#N/A</v>
      </c>
      <c r="H1587" s="210" t="str">
        <f>TEXT(A1587,"ddd")</f>
        <v>Sat</v>
      </c>
    </row>
    <row r="1588" spans="1:8" x14ac:dyDescent="0.25">
      <c r="A1588" s="13"/>
      <c r="B1588" s="14"/>
      <c r="C1588" s="39"/>
      <c r="D1588" s="39"/>
      <c r="E1588" s="36" t="str">
        <f>IF(SUM(C1588:D1588)=0," ",SUM(C1588:D1588))</f>
        <v xml:space="preserve"> </v>
      </c>
      <c r="F1588" s="14"/>
      <c r="G1588" s="120" t="e">
        <f>VLOOKUP($B1588,Information!$C$8:$F$15,4,FALSE)</f>
        <v>#N/A</v>
      </c>
      <c r="H1588" s="210" t="str">
        <f>TEXT(A1588,"ddd")</f>
        <v>Sat</v>
      </c>
    </row>
    <row r="1589" spans="1:8" x14ac:dyDescent="0.25">
      <c r="A1589" s="13"/>
      <c r="B1589" s="14"/>
      <c r="C1589" s="39"/>
      <c r="D1589" s="39"/>
      <c r="E1589" s="36" t="str">
        <f>IF(SUM(C1589:D1589)=0," ",SUM(C1589:D1589))</f>
        <v xml:space="preserve"> </v>
      </c>
      <c r="F1589" s="14"/>
      <c r="G1589" s="120" t="e">
        <f>VLOOKUP($B1589,Information!$C$8:$F$15,4,FALSE)</f>
        <v>#N/A</v>
      </c>
      <c r="H1589" s="210" t="str">
        <f>TEXT(A1589,"ddd")</f>
        <v>Sat</v>
      </c>
    </row>
    <row r="1590" spans="1:8" x14ac:dyDescent="0.25">
      <c r="A1590" s="13"/>
      <c r="B1590" s="14"/>
      <c r="C1590" s="39"/>
      <c r="D1590" s="39"/>
      <c r="E1590" s="36" t="str">
        <f>IF(SUM(C1590:D1590)=0," ",SUM(C1590:D1590))</f>
        <v xml:space="preserve"> </v>
      </c>
      <c r="F1590" s="14"/>
      <c r="G1590" s="120" t="e">
        <f>VLOOKUP($B1590,Information!$C$8:$F$15,4,FALSE)</f>
        <v>#N/A</v>
      </c>
      <c r="H1590" s="210" t="str">
        <f>TEXT(A1590,"ddd")</f>
        <v>Sat</v>
      </c>
    </row>
    <row r="1591" spans="1:8" x14ac:dyDescent="0.25">
      <c r="A1591" s="13"/>
      <c r="B1591" s="14"/>
      <c r="C1591" s="39"/>
      <c r="D1591" s="39"/>
      <c r="E1591" s="36" t="str">
        <f>IF(SUM(C1591:D1591)=0," ",SUM(C1591:D1591))</f>
        <v xml:space="preserve"> </v>
      </c>
      <c r="F1591" s="14"/>
      <c r="G1591" s="120" t="e">
        <f>VLOOKUP($B1591,Information!$C$8:$F$15,4,FALSE)</f>
        <v>#N/A</v>
      </c>
      <c r="H1591" s="210" t="str">
        <f>TEXT(A1591,"ddd")</f>
        <v>Sat</v>
      </c>
    </row>
    <row r="1592" spans="1:8" x14ac:dyDescent="0.25">
      <c r="A1592" s="13"/>
      <c r="B1592" s="14"/>
      <c r="C1592" s="39"/>
      <c r="D1592" s="39"/>
      <c r="E1592" s="36" t="str">
        <f>IF(SUM(C1592:D1592)=0," ",SUM(C1592:D1592))</f>
        <v xml:space="preserve"> </v>
      </c>
      <c r="F1592" s="14"/>
      <c r="G1592" s="120" t="e">
        <f>VLOOKUP($B1592,Information!$C$8:$F$15,4,FALSE)</f>
        <v>#N/A</v>
      </c>
      <c r="H1592" s="210" t="str">
        <f>TEXT(A1592,"ddd")</f>
        <v>Sat</v>
      </c>
    </row>
    <row r="1593" spans="1:8" x14ac:dyDescent="0.25">
      <c r="A1593" s="13"/>
      <c r="B1593" s="14"/>
      <c r="C1593" s="39"/>
      <c r="D1593" s="39"/>
      <c r="E1593" s="36" t="str">
        <f>IF(SUM(C1593:D1593)=0," ",SUM(C1593:D1593))</f>
        <v xml:space="preserve"> </v>
      </c>
      <c r="F1593" s="14"/>
      <c r="G1593" s="120" t="e">
        <f>VLOOKUP($B1593,Information!$C$8:$F$15,4,FALSE)</f>
        <v>#N/A</v>
      </c>
      <c r="H1593" s="210" t="str">
        <f>TEXT(A1593,"ddd")</f>
        <v>Sat</v>
      </c>
    </row>
    <row r="1594" spans="1:8" x14ac:dyDescent="0.25">
      <c r="A1594" s="13"/>
      <c r="B1594" s="14"/>
      <c r="C1594" s="39"/>
      <c r="D1594" s="39"/>
      <c r="E1594" s="36" t="str">
        <f>IF(SUM(C1594:D1594)=0," ",SUM(C1594:D1594))</f>
        <v xml:space="preserve"> </v>
      </c>
      <c r="F1594" s="14"/>
      <c r="G1594" s="120" t="e">
        <f>VLOOKUP($B1594,Information!$C$8:$F$15,4,FALSE)</f>
        <v>#N/A</v>
      </c>
      <c r="H1594" s="210" t="str">
        <f>TEXT(A1594,"ddd")</f>
        <v>Sat</v>
      </c>
    </row>
    <row r="1595" spans="1:8" x14ac:dyDescent="0.25">
      <c r="A1595" s="13"/>
      <c r="B1595" s="14"/>
      <c r="C1595" s="39"/>
      <c r="D1595" s="39"/>
      <c r="E1595" s="36" t="str">
        <f>IF(SUM(C1595:D1595)=0," ",SUM(C1595:D1595))</f>
        <v xml:space="preserve"> </v>
      </c>
      <c r="F1595" s="14"/>
      <c r="G1595" s="120" t="e">
        <f>VLOOKUP($B1595,Information!$C$8:$F$15,4,FALSE)</f>
        <v>#N/A</v>
      </c>
      <c r="H1595" s="210" t="str">
        <f>TEXT(A1595,"ddd")</f>
        <v>Sat</v>
      </c>
    </row>
    <row r="1596" spans="1:8" x14ac:dyDescent="0.25">
      <c r="A1596" s="13"/>
      <c r="B1596" s="14"/>
      <c r="C1596" s="39"/>
      <c r="D1596" s="39"/>
      <c r="E1596" s="36" t="str">
        <f>IF(SUM(C1596:D1596)=0," ",SUM(C1596:D1596))</f>
        <v xml:space="preserve"> </v>
      </c>
      <c r="F1596" s="14"/>
      <c r="G1596" s="120" t="e">
        <f>VLOOKUP($B1596,Information!$C$8:$F$15,4,FALSE)</f>
        <v>#N/A</v>
      </c>
      <c r="H1596" s="210" t="str">
        <f>TEXT(A1596,"ddd")</f>
        <v>Sat</v>
      </c>
    </row>
    <row r="1597" spans="1:8" x14ac:dyDescent="0.25">
      <c r="A1597" s="13"/>
      <c r="B1597" s="14"/>
      <c r="C1597" s="39"/>
      <c r="D1597" s="39"/>
      <c r="E1597" s="36" t="str">
        <f>IF(SUM(C1597:D1597)=0," ",SUM(C1597:D1597))</f>
        <v xml:space="preserve"> </v>
      </c>
      <c r="F1597" s="14"/>
      <c r="G1597" s="120" t="e">
        <f>VLOOKUP($B1597,Information!$C$8:$F$15,4,FALSE)</f>
        <v>#N/A</v>
      </c>
      <c r="H1597" s="210" t="str">
        <f>TEXT(A1597,"ddd")</f>
        <v>Sat</v>
      </c>
    </row>
    <row r="1598" spans="1:8" x14ac:dyDescent="0.25">
      <c r="A1598" s="13"/>
      <c r="B1598" s="14"/>
      <c r="C1598" s="39"/>
      <c r="D1598" s="39"/>
      <c r="E1598" s="36" t="str">
        <f>IF(SUM(C1598:D1598)=0," ",SUM(C1598:D1598))</f>
        <v xml:space="preserve"> </v>
      </c>
      <c r="F1598" s="14"/>
      <c r="G1598" s="120" t="e">
        <f>VLOOKUP($B1598,Information!$C$8:$F$15,4,FALSE)</f>
        <v>#N/A</v>
      </c>
      <c r="H1598" s="210" t="str">
        <f>TEXT(A1598,"ddd")</f>
        <v>Sat</v>
      </c>
    </row>
    <row r="1599" spans="1:8" x14ac:dyDescent="0.25">
      <c r="A1599" s="13"/>
      <c r="B1599" s="14"/>
      <c r="C1599" s="39"/>
      <c r="D1599" s="39"/>
      <c r="E1599" s="36" t="str">
        <f>IF(SUM(C1599:D1599)=0," ",SUM(C1599:D1599))</f>
        <v xml:space="preserve"> </v>
      </c>
      <c r="F1599" s="14"/>
      <c r="G1599" s="120" t="e">
        <f>VLOOKUP($B1599,Information!$C$8:$F$15,4,FALSE)</f>
        <v>#N/A</v>
      </c>
      <c r="H1599" s="210" t="str">
        <f>TEXT(A1599,"ddd")</f>
        <v>Sat</v>
      </c>
    </row>
    <row r="1600" spans="1:8" x14ac:dyDescent="0.25">
      <c r="A1600" s="13"/>
      <c r="B1600" s="14"/>
      <c r="C1600" s="39"/>
      <c r="D1600" s="39"/>
      <c r="E1600" s="36" t="str">
        <f>IF(SUM(C1600:D1600)=0," ",SUM(C1600:D1600))</f>
        <v xml:space="preserve"> </v>
      </c>
      <c r="F1600" s="14"/>
      <c r="G1600" s="120" t="e">
        <f>VLOOKUP($B1600,Information!$C$8:$F$15,4,FALSE)</f>
        <v>#N/A</v>
      </c>
      <c r="H1600" s="210" t="str">
        <f>TEXT(A1600,"ddd")</f>
        <v>Sat</v>
      </c>
    </row>
    <row r="1601" spans="1:8" x14ac:dyDescent="0.25">
      <c r="A1601" s="13"/>
      <c r="B1601" s="14"/>
      <c r="C1601" s="39"/>
      <c r="D1601" s="39"/>
      <c r="E1601" s="36" t="str">
        <f>IF(SUM(C1601:D1601)=0," ",SUM(C1601:D1601))</f>
        <v xml:space="preserve"> </v>
      </c>
      <c r="F1601" s="14"/>
      <c r="G1601" s="120" t="e">
        <f>VLOOKUP($B1601,Information!$C$8:$F$15,4,FALSE)</f>
        <v>#N/A</v>
      </c>
      <c r="H1601" s="210" t="str">
        <f>TEXT(A1601,"ddd")</f>
        <v>Sat</v>
      </c>
    </row>
    <row r="1602" spans="1:8" x14ac:dyDescent="0.25">
      <c r="A1602" s="13"/>
      <c r="B1602" s="14"/>
      <c r="C1602" s="39"/>
      <c r="D1602" s="39"/>
      <c r="E1602" s="36" t="str">
        <f>IF(SUM(C1602:D1602)=0," ",SUM(C1602:D1602))</f>
        <v xml:space="preserve"> </v>
      </c>
      <c r="F1602" s="14"/>
      <c r="G1602" s="120" t="e">
        <f>VLOOKUP($B1602,Information!$C$8:$F$15,4,FALSE)</f>
        <v>#N/A</v>
      </c>
      <c r="H1602" s="210" t="str">
        <f>TEXT(A1602,"ddd")</f>
        <v>Sat</v>
      </c>
    </row>
    <row r="1603" spans="1:8" x14ac:dyDescent="0.25">
      <c r="A1603" s="13"/>
      <c r="B1603" s="14"/>
      <c r="C1603" s="39"/>
      <c r="D1603" s="39"/>
      <c r="E1603" s="36" t="str">
        <f>IF(SUM(C1603:D1603)=0," ",SUM(C1603:D1603))</f>
        <v xml:space="preserve"> </v>
      </c>
      <c r="F1603" s="14"/>
      <c r="G1603" s="120" t="e">
        <f>VLOOKUP($B1603,Information!$C$8:$F$15,4,FALSE)</f>
        <v>#N/A</v>
      </c>
      <c r="H1603" s="210" t="str">
        <f>TEXT(A1603,"ddd")</f>
        <v>Sat</v>
      </c>
    </row>
    <row r="1604" spans="1:8" x14ac:dyDescent="0.25">
      <c r="A1604" s="13"/>
      <c r="B1604" s="14"/>
      <c r="C1604" s="39"/>
      <c r="D1604" s="39"/>
      <c r="E1604" s="36" t="str">
        <f>IF(SUM(C1604:D1604)=0," ",SUM(C1604:D1604))</f>
        <v xml:space="preserve"> </v>
      </c>
      <c r="F1604" s="14"/>
      <c r="G1604" s="120" t="e">
        <f>VLOOKUP($B1604,Information!$C$8:$F$15,4,FALSE)</f>
        <v>#N/A</v>
      </c>
      <c r="H1604" s="210" t="str">
        <f>TEXT(A1604,"ddd")</f>
        <v>Sat</v>
      </c>
    </row>
    <row r="1605" spans="1:8" x14ac:dyDescent="0.25">
      <c r="A1605" s="13"/>
      <c r="B1605" s="14"/>
      <c r="C1605" s="39"/>
      <c r="D1605" s="39"/>
      <c r="E1605" s="36" t="str">
        <f>IF(SUM(C1605:D1605)=0," ",SUM(C1605:D1605))</f>
        <v xml:space="preserve"> </v>
      </c>
      <c r="F1605" s="14"/>
      <c r="G1605" s="120" t="e">
        <f>VLOOKUP($B1605,Information!$C$8:$F$15,4,FALSE)</f>
        <v>#N/A</v>
      </c>
      <c r="H1605" s="210" t="str">
        <f>TEXT(A1605,"ddd")</f>
        <v>Sat</v>
      </c>
    </row>
    <row r="1606" spans="1:8" x14ac:dyDescent="0.25">
      <c r="A1606" s="13"/>
      <c r="B1606" s="14"/>
      <c r="C1606" s="39"/>
      <c r="D1606" s="39"/>
      <c r="E1606" s="36" t="str">
        <f>IF(SUM(C1606:D1606)=0," ",SUM(C1606:D1606))</f>
        <v xml:space="preserve"> </v>
      </c>
      <c r="F1606" s="14"/>
      <c r="G1606" s="120" t="e">
        <f>VLOOKUP($B1606,Information!$C$8:$F$15,4,FALSE)</f>
        <v>#N/A</v>
      </c>
      <c r="H1606" s="210" t="str">
        <f>TEXT(A1606,"ddd")</f>
        <v>Sat</v>
      </c>
    </row>
    <row r="1607" spans="1:8" x14ac:dyDescent="0.25">
      <c r="A1607" s="13"/>
      <c r="B1607" s="14"/>
      <c r="C1607" s="39"/>
      <c r="D1607" s="39"/>
      <c r="E1607" s="36" t="str">
        <f>IF(SUM(C1607:D1607)=0," ",SUM(C1607:D1607))</f>
        <v xml:space="preserve"> </v>
      </c>
      <c r="F1607" s="14"/>
      <c r="G1607" s="120" t="e">
        <f>VLOOKUP($B1607,Information!$C$8:$F$15,4,FALSE)</f>
        <v>#N/A</v>
      </c>
      <c r="H1607" s="210" t="str">
        <f>TEXT(A1607,"ddd")</f>
        <v>Sat</v>
      </c>
    </row>
    <row r="1608" spans="1:8" x14ac:dyDescent="0.25">
      <c r="A1608" s="13"/>
      <c r="B1608" s="14"/>
      <c r="C1608" s="39"/>
      <c r="D1608" s="39"/>
      <c r="E1608" s="36" t="str">
        <f>IF(SUM(C1608:D1608)=0," ",SUM(C1608:D1608))</f>
        <v xml:space="preserve"> </v>
      </c>
      <c r="F1608" s="14"/>
      <c r="G1608" s="120" t="e">
        <f>VLOOKUP($B1608,Information!$C$8:$F$15,4,FALSE)</f>
        <v>#N/A</v>
      </c>
      <c r="H1608" s="210" t="str">
        <f>TEXT(A1608,"ddd")</f>
        <v>Sat</v>
      </c>
    </row>
    <row r="1609" spans="1:8" x14ac:dyDescent="0.25">
      <c r="A1609" s="13"/>
      <c r="B1609" s="14"/>
      <c r="C1609" s="39"/>
      <c r="D1609" s="39"/>
      <c r="E1609" s="36" t="str">
        <f>IF(SUM(C1609:D1609)=0," ",SUM(C1609:D1609))</f>
        <v xml:space="preserve"> </v>
      </c>
      <c r="F1609" s="14"/>
      <c r="G1609" s="120" t="e">
        <f>VLOOKUP($B1609,Information!$C$8:$F$15,4,FALSE)</f>
        <v>#N/A</v>
      </c>
      <c r="H1609" s="210" t="str">
        <f>TEXT(A1609,"ddd")</f>
        <v>Sat</v>
      </c>
    </row>
    <row r="1610" spans="1:8" x14ac:dyDescent="0.25">
      <c r="A1610" s="13"/>
      <c r="B1610" s="14"/>
      <c r="C1610" s="39"/>
      <c r="D1610" s="39"/>
      <c r="E1610" s="36" t="str">
        <f>IF(SUM(C1610:D1610)=0," ",SUM(C1610:D1610))</f>
        <v xml:space="preserve"> </v>
      </c>
      <c r="F1610" s="14"/>
      <c r="G1610" s="120" t="e">
        <f>VLOOKUP($B1610,Information!$C$8:$F$15,4,FALSE)</f>
        <v>#N/A</v>
      </c>
      <c r="H1610" s="210" t="str">
        <f>TEXT(A1610,"ddd")</f>
        <v>Sat</v>
      </c>
    </row>
    <row r="1611" spans="1:8" x14ac:dyDescent="0.25">
      <c r="A1611" s="13"/>
      <c r="B1611" s="14"/>
      <c r="C1611" s="39"/>
      <c r="D1611" s="39"/>
      <c r="E1611" s="36" t="str">
        <f>IF(SUM(C1611:D1611)=0," ",SUM(C1611:D1611))</f>
        <v xml:space="preserve"> </v>
      </c>
      <c r="F1611" s="14"/>
      <c r="G1611" s="120" t="e">
        <f>VLOOKUP($B1611,Information!$C$8:$F$15,4,FALSE)</f>
        <v>#N/A</v>
      </c>
      <c r="H1611" s="210" t="str">
        <f>TEXT(A1611,"ddd")</f>
        <v>Sat</v>
      </c>
    </row>
    <row r="1612" spans="1:8" x14ac:dyDescent="0.25">
      <c r="A1612" s="13"/>
      <c r="B1612" s="14"/>
      <c r="C1612" s="39"/>
      <c r="D1612" s="39"/>
      <c r="E1612" s="36" t="str">
        <f>IF(SUM(C1612:D1612)=0," ",SUM(C1612:D1612))</f>
        <v xml:space="preserve"> </v>
      </c>
      <c r="F1612" s="14"/>
      <c r="G1612" s="120" t="e">
        <f>VLOOKUP($B1612,Information!$C$8:$F$15,4,FALSE)</f>
        <v>#N/A</v>
      </c>
      <c r="H1612" s="210" t="str">
        <f>TEXT(A1612,"ddd")</f>
        <v>Sat</v>
      </c>
    </row>
    <row r="1613" spans="1:8" x14ac:dyDescent="0.25">
      <c r="A1613" s="13"/>
      <c r="B1613" s="14"/>
      <c r="C1613" s="39"/>
      <c r="D1613" s="39"/>
      <c r="E1613" s="36" t="str">
        <f>IF(SUM(C1613:D1613)=0," ",SUM(C1613:D1613))</f>
        <v xml:space="preserve"> </v>
      </c>
      <c r="F1613" s="14"/>
      <c r="G1613" s="120" t="e">
        <f>VLOOKUP($B1613,Information!$C$8:$F$15,4,FALSE)</f>
        <v>#N/A</v>
      </c>
      <c r="H1613" s="210" t="str">
        <f>TEXT(A1613,"ddd")</f>
        <v>Sat</v>
      </c>
    </row>
    <row r="1614" spans="1:8" x14ac:dyDescent="0.25">
      <c r="A1614" s="13"/>
      <c r="B1614" s="14"/>
      <c r="C1614" s="39"/>
      <c r="D1614" s="39"/>
      <c r="E1614" s="36" t="str">
        <f>IF(SUM(C1614:D1614)=0," ",SUM(C1614:D1614))</f>
        <v xml:space="preserve"> </v>
      </c>
      <c r="F1614" s="14"/>
      <c r="G1614" s="120" t="e">
        <f>VLOOKUP($B1614,Information!$C$8:$F$15,4,FALSE)</f>
        <v>#N/A</v>
      </c>
      <c r="H1614" s="210" t="str">
        <f>TEXT(A1614,"ddd")</f>
        <v>Sat</v>
      </c>
    </row>
    <row r="1615" spans="1:8" x14ac:dyDescent="0.25">
      <c r="A1615" s="13"/>
      <c r="B1615" s="14"/>
      <c r="C1615" s="39"/>
      <c r="D1615" s="39"/>
      <c r="E1615" s="36" t="str">
        <f>IF(SUM(C1615:D1615)=0," ",SUM(C1615:D1615))</f>
        <v xml:space="preserve"> </v>
      </c>
      <c r="F1615" s="14"/>
      <c r="G1615" s="120" t="e">
        <f>VLOOKUP($B1615,Information!$C$8:$F$15,4,FALSE)</f>
        <v>#N/A</v>
      </c>
      <c r="H1615" s="210" t="str">
        <f>TEXT(A1615,"ddd")</f>
        <v>Sat</v>
      </c>
    </row>
    <row r="1616" spans="1:8" x14ac:dyDescent="0.25">
      <c r="A1616" s="13"/>
      <c r="B1616" s="14"/>
      <c r="C1616" s="39"/>
      <c r="D1616" s="39"/>
      <c r="E1616" s="36" t="str">
        <f>IF(SUM(C1616:D1616)=0," ",SUM(C1616:D1616))</f>
        <v xml:space="preserve"> </v>
      </c>
      <c r="F1616" s="14"/>
      <c r="G1616" s="120" t="e">
        <f>VLOOKUP($B1616,Information!$C$8:$F$15,4,FALSE)</f>
        <v>#N/A</v>
      </c>
      <c r="H1616" s="210" t="str">
        <f>TEXT(A1616,"ddd")</f>
        <v>Sat</v>
      </c>
    </row>
    <row r="1617" spans="1:8" x14ac:dyDescent="0.25">
      <c r="A1617" s="13"/>
      <c r="B1617" s="14"/>
      <c r="C1617" s="39"/>
      <c r="D1617" s="39"/>
      <c r="E1617" s="36" t="str">
        <f>IF(SUM(C1617:D1617)=0," ",SUM(C1617:D1617))</f>
        <v xml:space="preserve"> </v>
      </c>
      <c r="F1617" s="14"/>
      <c r="G1617" s="120" t="e">
        <f>VLOOKUP($B1617,Information!$C$8:$F$15,4,FALSE)</f>
        <v>#N/A</v>
      </c>
      <c r="H1617" s="210" t="str">
        <f>TEXT(A1617,"ddd")</f>
        <v>Sat</v>
      </c>
    </row>
    <row r="1618" spans="1:8" x14ac:dyDescent="0.25">
      <c r="A1618" s="13"/>
      <c r="B1618" s="14"/>
      <c r="C1618" s="39"/>
      <c r="D1618" s="39"/>
      <c r="E1618" s="36" t="str">
        <f>IF(SUM(C1618:D1618)=0," ",SUM(C1618:D1618))</f>
        <v xml:space="preserve"> </v>
      </c>
      <c r="F1618" s="14"/>
      <c r="G1618" s="120" t="e">
        <f>VLOOKUP($B1618,Information!$C$8:$F$15,4,FALSE)</f>
        <v>#N/A</v>
      </c>
      <c r="H1618" s="210" t="str">
        <f>TEXT(A1618,"ddd")</f>
        <v>Sat</v>
      </c>
    </row>
    <row r="1619" spans="1:8" x14ac:dyDescent="0.25">
      <c r="A1619" s="13"/>
      <c r="B1619" s="14"/>
      <c r="C1619" s="39"/>
      <c r="D1619" s="39"/>
      <c r="E1619" s="36" t="str">
        <f>IF(SUM(C1619:D1619)=0," ",SUM(C1619:D1619))</f>
        <v xml:space="preserve"> </v>
      </c>
      <c r="F1619" s="14"/>
      <c r="G1619" s="120" t="e">
        <f>VLOOKUP($B1619,Information!$C$8:$F$15,4,FALSE)</f>
        <v>#N/A</v>
      </c>
      <c r="H1619" s="210" t="str">
        <f>TEXT(A1619,"ddd")</f>
        <v>Sat</v>
      </c>
    </row>
    <row r="1620" spans="1:8" x14ac:dyDescent="0.25">
      <c r="A1620" s="13"/>
      <c r="B1620" s="14"/>
      <c r="C1620" s="39"/>
      <c r="D1620" s="39"/>
      <c r="E1620" s="36" t="str">
        <f>IF(SUM(C1620:D1620)=0," ",SUM(C1620:D1620))</f>
        <v xml:space="preserve"> </v>
      </c>
      <c r="F1620" s="14"/>
      <c r="G1620" s="120" t="e">
        <f>VLOOKUP($B1620,Information!$C$8:$F$15,4,FALSE)</f>
        <v>#N/A</v>
      </c>
      <c r="H1620" s="210" t="str">
        <f>TEXT(A1620,"ddd")</f>
        <v>Sat</v>
      </c>
    </row>
    <row r="1621" spans="1:8" x14ac:dyDescent="0.25">
      <c r="A1621" s="13"/>
      <c r="B1621" s="14"/>
      <c r="C1621" s="39"/>
      <c r="D1621" s="39"/>
      <c r="E1621" s="36" t="str">
        <f>IF(SUM(C1621:D1621)=0," ",SUM(C1621:D1621))</f>
        <v xml:space="preserve"> </v>
      </c>
      <c r="F1621" s="14"/>
      <c r="G1621" s="120" t="e">
        <f>VLOOKUP($B1621,Information!$C$8:$F$15,4,FALSE)</f>
        <v>#N/A</v>
      </c>
      <c r="H1621" s="210" t="str">
        <f>TEXT(A1621,"ddd")</f>
        <v>Sat</v>
      </c>
    </row>
    <row r="1622" spans="1:8" x14ac:dyDescent="0.25">
      <c r="A1622" s="13"/>
      <c r="B1622" s="14"/>
      <c r="C1622" s="39"/>
      <c r="D1622" s="39"/>
      <c r="E1622" s="36" t="str">
        <f>IF(SUM(C1622:D1622)=0," ",SUM(C1622:D1622))</f>
        <v xml:space="preserve"> </v>
      </c>
      <c r="F1622" s="14"/>
      <c r="G1622" s="120" t="e">
        <f>VLOOKUP($B1622,Information!$C$8:$F$15,4,FALSE)</f>
        <v>#N/A</v>
      </c>
      <c r="H1622" s="210" t="str">
        <f>TEXT(A1622,"ddd")</f>
        <v>Sat</v>
      </c>
    </row>
    <row r="1623" spans="1:8" x14ac:dyDescent="0.25">
      <c r="A1623" s="13"/>
      <c r="B1623" s="14"/>
      <c r="C1623" s="39"/>
      <c r="D1623" s="39"/>
      <c r="E1623" s="36" t="str">
        <f>IF(SUM(C1623:D1623)=0," ",SUM(C1623:D1623))</f>
        <v xml:space="preserve"> </v>
      </c>
      <c r="F1623" s="14"/>
      <c r="G1623" s="120" t="e">
        <f>VLOOKUP($B1623,Information!$C$8:$F$15,4,FALSE)</f>
        <v>#N/A</v>
      </c>
      <c r="H1623" s="210" t="str">
        <f>TEXT(A1623,"ddd")</f>
        <v>Sat</v>
      </c>
    </row>
    <row r="1624" spans="1:8" x14ac:dyDescent="0.25">
      <c r="A1624" s="13"/>
      <c r="B1624" s="14"/>
      <c r="C1624" s="39"/>
      <c r="D1624" s="39"/>
      <c r="E1624" s="36" t="str">
        <f>IF(SUM(C1624:D1624)=0," ",SUM(C1624:D1624))</f>
        <v xml:space="preserve"> </v>
      </c>
      <c r="F1624" s="14"/>
      <c r="G1624" s="120" t="e">
        <f>VLOOKUP($B1624,Information!$C$8:$F$15,4,FALSE)</f>
        <v>#N/A</v>
      </c>
      <c r="H1624" s="210" t="str">
        <f>TEXT(A1624,"ddd")</f>
        <v>Sat</v>
      </c>
    </row>
    <row r="1625" spans="1:8" x14ac:dyDescent="0.25">
      <c r="A1625" s="13"/>
      <c r="B1625" s="14"/>
      <c r="C1625" s="39"/>
      <c r="D1625" s="39"/>
      <c r="E1625" s="36" t="str">
        <f>IF(SUM(C1625:D1625)=0," ",SUM(C1625:D1625))</f>
        <v xml:space="preserve"> </v>
      </c>
      <c r="F1625" s="14"/>
      <c r="G1625" s="120" t="e">
        <f>VLOOKUP($B1625,Information!$C$8:$F$15,4,FALSE)</f>
        <v>#N/A</v>
      </c>
      <c r="H1625" s="210" t="str">
        <f>TEXT(A1625,"ddd")</f>
        <v>Sat</v>
      </c>
    </row>
    <row r="1626" spans="1:8" x14ac:dyDescent="0.25">
      <c r="A1626" s="13"/>
      <c r="B1626" s="14"/>
      <c r="C1626" s="39"/>
      <c r="D1626" s="39"/>
      <c r="E1626" s="36" t="str">
        <f>IF(SUM(C1626:D1626)=0," ",SUM(C1626:D1626))</f>
        <v xml:space="preserve"> </v>
      </c>
      <c r="F1626" s="14"/>
      <c r="G1626" s="120" t="e">
        <f>VLOOKUP($B1626,Information!$C$8:$F$15,4,FALSE)</f>
        <v>#N/A</v>
      </c>
      <c r="H1626" s="210" t="str">
        <f>TEXT(A1626,"ddd")</f>
        <v>Sat</v>
      </c>
    </row>
    <row r="1627" spans="1:8" x14ac:dyDescent="0.25">
      <c r="A1627" s="13"/>
      <c r="B1627" s="14"/>
      <c r="C1627" s="39"/>
      <c r="D1627" s="39"/>
      <c r="E1627" s="36" t="str">
        <f>IF(SUM(C1627:D1627)=0," ",SUM(C1627:D1627))</f>
        <v xml:space="preserve"> </v>
      </c>
      <c r="F1627" s="14"/>
      <c r="G1627" s="120" t="e">
        <f>VLOOKUP($B1627,Information!$C$8:$F$15,4,FALSE)</f>
        <v>#N/A</v>
      </c>
      <c r="H1627" s="210" t="str">
        <f>TEXT(A1627,"ddd")</f>
        <v>Sat</v>
      </c>
    </row>
    <row r="1628" spans="1:8" x14ac:dyDescent="0.25">
      <c r="A1628" s="13"/>
      <c r="B1628" s="14"/>
      <c r="C1628" s="39"/>
      <c r="D1628" s="39"/>
      <c r="E1628" s="36" t="str">
        <f>IF(SUM(C1628:D1628)=0," ",SUM(C1628:D1628))</f>
        <v xml:space="preserve"> </v>
      </c>
      <c r="F1628" s="14"/>
      <c r="G1628" s="120" t="e">
        <f>VLOOKUP($B1628,Information!$C$8:$F$15,4,FALSE)</f>
        <v>#N/A</v>
      </c>
      <c r="H1628" s="210" t="str">
        <f>TEXT(A1628,"ddd")</f>
        <v>Sat</v>
      </c>
    </row>
    <row r="1629" spans="1:8" x14ac:dyDescent="0.25">
      <c r="A1629" s="13"/>
      <c r="B1629" s="14"/>
      <c r="C1629" s="39"/>
      <c r="D1629" s="39"/>
      <c r="E1629" s="36" t="str">
        <f>IF(SUM(C1629:D1629)=0," ",SUM(C1629:D1629))</f>
        <v xml:space="preserve"> </v>
      </c>
      <c r="F1629" s="14"/>
      <c r="G1629" s="120" t="e">
        <f>VLOOKUP($B1629,Information!$C$8:$F$15,4,FALSE)</f>
        <v>#N/A</v>
      </c>
      <c r="H1629" s="210" t="str">
        <f>TEXT(A1629,"ddd")</f>
        <v>Sat</v>
      </c>
    </row>
    <row r="1630" spans="1:8" x14ac:dyDescent="0.25">
      <c r="A1630" s="13"/>
      <c r="B1630" s="14"/>
      <c r="C1630" s="39"/>
      <c r="D1630" s="39"/>
      <c r="E1630" s="36" t="str">
        <f>IF(SUM(C1630:D1630)=0," ",SUM(C1630:D1630))</f>
        <v xml:space="preserve"> </v>
      </c>
      <c r="F1630" s="14"/>
      <c r="G1630" s="120" t="e">
        <f>VLOOKUP($B1630,Information!$C$8:$F$15,4,FALSE)</f>
        <v>#N/A</v>
      </c>
      <c r="H1630" s="210" t="str">
        <f>TEXT(A1630,"ddd")</f>
        <v>Sat</v>
      </c>
    </row>
    <row r="1631" spans="1:8" x14ac:dyDescent="0.25">
      <c r="A1631" s="13"/>
      <c r="B1631" s="14"/>
      <c r="C1631" s="39"/>
      <c r="D1631" s="39"/>
      <c r="E1631" s="36" t="str">
        <f>IF(SUM(C1631:D1631)=0," ",SUM(C1631:D1631))</f>
        <v xml:space="preserve"> </v>
      </c>
      <c r="F1631" s="14"/>
      <c r="G1631" s="120" t="e">
        <f>VLOOKUP($B1631,Information!$C$8:$F$15,4,FALSE)</f>
        <v>#N/A</v>
      </c>
      <c r="H1631" s="210" t="str">
        <f>TEXT(A1631,"ddd")</f>
        <v>Sat</v>
      </c>
    </row>
    <row r="1632" spans="1:8" x14ac:dyDescent="0.25">
      <c r="A1632" s="13"/>
      <c r="B1632" s="14"/>
      <c r="C1632" s="39"/>
      <c r="D1632" s="39"/>
      <c r="E1632" s="36" t="str">
        <f>IF(SUM(C1632:D1632)=0," ",SUM(C1632:D1632))</f>
        <v xml:space="preserve"> </v>
      </c>
      <c r="F1632" s="14"/>
      <c r="G1632" s="120" t="e">
        <f>VLOOKUP($B1632,Information!$C$8:$F$15,4,FALSE)</f>
        <v>#N/A</v>
      </c>
      <c r="H1632" s="210" t="str">
        <f>TEXT(A1632,"ddd")</f>
        <v>Sat</v>
      </c>
    </row>
    <row r="1633" spans="1:8" x14ac:dyDescent="0.25">
      <c r="A1633" s="13"/>
      <c r="B1633" s="14"/>
      <c r="C1633" s="39"/>
      <c r="D1633" s="39"/>
      <c r="E1633" s="36" t="str">
        <f>IF(SUM(C1633:D1633)=0," ",SUM(C1633:D1633))</f>
        <v xml:space="preserve"> </v>
      </c>
      <c r="F1633" s="14"/>
      <c r="G1633" s="120" t="e">
        <f>VLOOKUP($B1633,Information!$C$8:$F$15,4,FALSE)</f>
        <v>#N/A</v>
      </c>
      <c r="H1633" s="210" t="str">
        <f>TEXT(A1633,"ddd")</f>
        <v>Sat</v>
      </c>
    </row>
    <row r="1634" spans="1:8" x14ac:dyDescent="0.25">
      <c r="A1634" s="13"/>
      <c r="B1634" s="14"/>
      <c r="C1634" s="39"/>
      <c r="D1634" s="39"/>
      <c r="E1634" s="36" t="str">
        <f>IF(SUM(C1634:D1634)=0," ",SUM(C1634:D1634))</f>
        <v xml:space="preserve"> </v>
      </c>
      <c r="F1634" s="14"/>
      <c r="G1634" s="120" t="e">
        <f>VLOOKUP($B1634,Information!$C$8:$F$15,4,FALSE)</f>
        <v>#N/A</v>
      </c>
      <c r="H1634" s="210" t="str">
        <f>TEXT(A1634,"ddd")</f>
        <v>Sat</v>
      </c>
    </row>
    <row r="1635" spans="1:8" x14ac:dyDescent="0.25">
      <c r="A1635" s="13"/>
      <c r="B1635" s="14"/>
      <c r="C1635" s="39"/>
      <c r="D1635" s="39"/>
      <c r="E1635" s="36" t="str">
        <f>IF(SUM(C1635:D1635)=0," ",SUM(C1635:D1635))</f>
        <v xml:space="preserve"> </v>
      </c>
      <c r="F1635" s="14"/>
      <c r="G1635" s="120" t="e">
        <f>VLOOKUP($B1635,Information!$C$8:$F$15,4,FALSE)</f>
        <v>#N/A</v>
      </c>
      <c r="H1635" s="210" t="str">
        <f>TEXT(A1635,"ddd")</f>
        <v>Sat</v>
      </c>
    </row>
    <row r="1636" spans="1:8" x14ac:dyDescent="0.25">
      <c r="A1636" s="13"/>
      <c r="B1636" s="14"/>
      <c r="C1636" s="39"/>
      <c r="D1636" s="39"/>
      <c r="E1636" s="36" t="str">
        <f>IF(SUM(C1636:D1636)=0," ",SUM(C1636:D1636))</f>
        <v xml:space="preserve"> </v>
      </c>
      <c r="F1636" s="14"/>
      <c r="G1636" s="120" t="e">
        <f>VLOOKUP($B1636,Information!$C$8:$F$15,4,FALSE)</f>
        <v>#N/A</v>
      </c>
      <c r="H1636" s="210" t="str">
        <f>TEXT(A1636,"ddd")</f>
        <v>Sat</v>
      </c>
    </row>
    <row r="1637" spans="1:8" x14ac:dyDescent="0.25">
      <c r="A1637" s="13"/>
      <c r="B1637" s="14"/>
      <c r="C1637" s="39"/>
      <c r="D1637" s="39"/>
      <c r="E1637" s="36" t="str">
        <f>IF(SUM(C1637:D1637)=0," ",SUM(C1637:D1637))</f>
        <v xml:space="preserve"> </v>
      </c>
      <c r="F1637" s="14"/>
      <c r="G1637" s="120" t="e">
        <f>VLOOKUP($B1637,Information!$C$8:$F$15,4,FALSE)</f>
        <v>#N/A</v>
      </c>
      <c r="H1637" s="210" t="str">
        <f>TEXT(A1637,"ddd")</f>
        <v>Sat</v>
      </c>
    </row>
    <row r="1638" spans="1:8" x14ac:dyDescent="0.25">
      <c r="A1638" s="13"/>
      <c r="B1638" s="14"/>
      <c r="C1638" s="39"/>
      <c r="D1638" s="39"/>
      <c r="E1638" s="36" t="str">
        <f>IF(SUM(C1638:D1638)=0," ",SUM(C1638:D1638))</f>
        <v xml:space="preserve"> </v>
      </c>
      <c r="F1638" s="14"/>
      <c r="G1638" s="120" t="e">
        <f>VLOOKUP($B1638,Information!$C$8:$F$15,4,FALSE)</f>
        <v>#N/A</v>
      </c>
      <c r="H1638" s="210" t="str">
        <f>TEXT(A1638,"ddd")</f>
        <v>Sat</v>
      </c>
    </row>
    <row r="1639" spans="1:8" x14ac:dyDescent="0.25">
      <c r="A1639" s="13"/>
      <c r="B1639" s="14"/>
      <c r="C1639" s="39"/>
      <c r="D1639" s="39"/>
      <c r="E1639" s="36" t="str">
        <f>IF(SUM(C1639:D1639)=0," ",SUM(C1639:D1639))</f>
        <v xml:space="preserve"> </v>
      </c>
      <c r="F1639" s="14"/>
      <c r="G1639" s="120" t="e">
        <f>VLOOKUP($B1639,Information!$C$8:$F$15,4,FALSE)</f>
        <v>#N/A</v>
      </c>
      <c r="H1639" s="210" t="str">
        <f>TEXT(A1639,"ddd")</f>
        <v>Sat</v>
      </c>
    </row>
    <row r="1640" spans="1:8" x14ac:dyDescent="0.25">
      <c r="A1640" s="13"/>
      <c r="B1640" s="14"/>
      <c r="C1640" s="39"/>
      <c r="D1640" s="39"/>
      <c r="E1640" s="36" t="str">
        <f>IF(SUM(C1640:D1640)=0," ",SUM(C1640:D1640))</f>
        <v xml:space="preserve"> </v>
      </c>
      <c r="F1640" s="14"/>
      <c r="G1640" s="120" t="e">
        <f>VLOOKUP($B1640,Information!$C$8:$F$15,4,FALSE)</f>
        <v>#N/A</v>
      </c>
      <c r="H1640" s="210" t="str">
        <f>TEXT(A1640,"ddd")</f>
        <v>Sat</v>
      </c>
    </row>
    <row r="1641" spans="1:8" x14ac:dyDescent="0.25">
      <c r="A1641" s="13"/>
      <c r="B1641" s="14"/>
      <c r="C1641" s="39"/>
      <c r="D1641" s="39"/>
      <c r="E1641" s="36" t="str">
        <f>IF(SUM(C1641:D1641)=0," ",SUM(C1641:D1641))</f>
        <v xml:space="preserve"> </v>
      </c>
      <c r="F1641" s="14"/>
      <c r="G1641" s="120" t="e">
        <f>VLOOKUP($B1641,Information!$C$8:$F$15,4,FALSE)</f>
        <v>#N/A</v>
      </c>
      <c r="H1641" s="210" t="str">
        <f>TEXT(A1641,"ddd")</f>
        <v>Sat</v>
      </c>
    </row>
    <row r="1642" spans="1:8" x14ac:dyDescent="0.25">
      <c r="A1642" s="13"/>
      <c r="B1642" s="14"/>
      <c r="C1642" s="39"/>
      <c r="D1642" s="39"/>
      <c r="E1642" s="36" t="str">
        <f>IF(SUM(C1642:D1642)=0," ",SUM(C1642:D1642))</f>
        <v xml:space="preserve"> </v>
      </c>
      <c r="F1642" s="14"/>
      <c r="G1642" s="120" t="e">
        <f>VLOOKUP($B1642,Information!$C$8:$F$15,4,FALSE)</f>
        <v>#N/A</v>
      </c>
      <c r="H1642" s="210" t="str">
        <f>TEXT(A1642,"ddd")</f>
        <v>Sat</v>
      </c>
    </row>
    <row r="1643" spans="1:8" x14ac:dyDescent="0.25">
      <c r="A1643" s="13"/>
      <c r="B1643" s="14"/>
      <c r="C1643" s="39"/>
      <c r="D1643" s="39"/>
      <c r="E1643" s="36" t="str">
        <f>IF(SUM(C1643:D1643)=0," ",SUM(C1643:D1643))</f>
        <v xml:space="preserve"> </v>
      </c>
      <c r="F1643" s="14"/>
      <c r="G1643" s="120" t="e">
        <f>VLOOKUP($B1643,Information!$C$8:$F$15,4,FALSE)</f>
        <v>#N/A</v>
      </c>
      <c r="H1643" s="210" t="str">
        <f>TEXT(A1643,"ddd")</f>
        <v>Sat</v>
      </c>
    </row>
    <row r="1644" spans="1:8" x14ac:dyDescent="0.25">
      <c r="A1644" s="13"/>
      <c r="B1644" s="14"/>
      <c r="C1644" s="39"/>
      <c r="D1644" s="39"/>
      <c r="E1644" s="36" t="str">
        <f>IF(SUM(C1644:D1644)=0," ",SUM(C1644:D1644))</f>
        <v xml:space="preserve"> </v>
      </c>
      <c r="F1644" s="14"/>
      <c r="G1644" s="120" t="e">
        <f>VLOOKUP($B1644,Information!$C$8:$F$15,4,FALSE)</f>
        <v>#N/A</v>
      </c>
      <c r="H1644" s="210" t="str">
        <f>TEXT(A1644,"ddd")</f>
        <v>Sat</v>
      </c>
    </row>
    <row r="1645" spans="1:8" x14ac:dyDescent="0.25">
      <c r="A1645" s="13"/>
      <c r="B1645" s="14"/>
      <c r="C1645" s="39"/>
      <c r="D1645" s="39"/>
      <c r="E1645" s="36" t="str">
        <f>IF(SUM(C1645:D1645)=0," ",SUM(C1645:D1645))</f>
        <v xml:space="preserve"> </v>
      </c>
      <c r="F1645" s="14"/>
      <c r="G1645" s="120" t="e">
        <f>VLOOKUP($B1645,Information!$C$8:$F$15,4,FALSE)</f>
        <v>#N/A</v>
      </c>
      <c r="H1645" s="210" t="str">
        <f>TEXT(A1645,"ddd")</f>
        <v>Sat</v>
      </c>
    </row>
    <row r="1646" spans="1:8" x14ac:dyDescent="0.25">
      <c r="A1646" s="13"/>
      <c r="B1646" s="14"/>
      <c r="C1646" s="39"/>
      <c r="D1646" s="39"/>
      <c r="E1646" s="36" t="str">
        <f>IF(SUM(C1646:D1646)=0," ",SUM(C1646:D1646))</f>
        <v xml:space="preserve"> </v>
      </c>
      <c r="F1646" s="14"/>
      <c r="G1646" s="120" t="e">
        <f>VLOOKUP($B1646,Information!$C$8:$F$15,4,FALSE)</f>
        <v>#N/A</v>
      </c>
      <c r="H1646" s="210" t="str">
        <f>TEXT(A1646,"ddd")</f>
        <v>Sat</v>
      </c>
    </row>
    <row r="1647" spans="1:8" x14ac:dyDescent="0.25">
      <c r="A1647" s="13"/>
      <c r="B1647" s="14"/>
      <c r="C1647" s="39"/>
      <c r="D1647" s="39"/>
      <c r="E1647" s="36" t="str">
        <f>IF(SUM(C1647:D1647)=0," ",SUM(C1647:D1647))</f>
        <v xml:space="preserve"> </v>
      </c>
      <c r="F1647" s="14"/>
      <c r="G1647" s="120" t="e">
        <f>VLOOKUP($B1647,Information!$C$8:$F$15,4,FALSE)</f>
        <v>#N/A</v>
      </c>
      <c r="H1647" s="210" t="str">
        <f>TEXT(A1647,"ddd")</f>
        <v>Sat</v>
      </c>
    </row>
    <row r="1648" spans="1:8" x14ac:dyDescent="0.25">
      <c r="A1648" s="13"/>
      <c r="B1648" s="14"/>
      <c r="C1648" s="39"/>
      <c r="D1648" s="39"/>
      <c r="E1648" s="36" t="str">
        <f>IF(SUM(C1648:D1648)=0," ",SUM(C1648:D1648))</f>
        <v xml:space="preserve"> </v>
      </c>
      <c r="F1648" s="14"/>
      <c r="G1648" s="120" t="e">
        <f>VLOOKUP($B1648,Information!$C$8:$F$15,4,FALSE)</f>
        <v>#N/A</v>
      </c>
      <c r="H1648" s="210" t="str">
        <f>TEXT(A1648,"ddd")</f>
        <v>Sat</v>
      </c>
    </row>
    <row r="1649" spans="1:8" x14ac:dyDescent="0.25">
      <c r="A1649" s="13"/>
      <c r="B1649" s="14"/>
      <c r="C1649" s="39"/>
      <c r="D1649" s="39"/>
      <c r="E1649" s="36" t="str">
        <f>IF(SUM(C1649:D1649)=0," ",SUM(C1649:D1649))</f>
        <v xml:space="preserve"> </v>
      </c>
      <c r="F1649" s="14"/>
      <c r="G1649" s="120" t="e">
        <f>VLOOKUP($B1649,Information!$C$8:$F$15,4,FALSE)</f>
        <v>#N/A</v>
      </c>
      <c r="H1649" s="210" t="str">
        <f>TEXT(A1649,"ddd")</f>
        <v>Sat</v>
      </c>
    </row>
    <row r="1650" spans="1:8" x14ac:dyDescent="0.25">
      <c r="A1650" s="13"/>
      <c r="B1650" s="14"/>
      <c r="C1650" s="39"/>
      <c r="D1650" s="39"/>
      <c r="E1650" s="36" t="str">
        <f>IF(SUM(C1650:D1650)=0," ",SUM(C1650:D1650))</f>
        <v xml:space="preserve"> </v>
      </c>
      <c r="F1650" s="14"/>
      <c r="G1650" s="120" t="e">
        <f>VLOOKUP($B1650,Information!$C$8:$F$15,4,FALSE)</f>
        <v>#N/A</v>
      </c>
      <c r="H1650" s="210" t="str">
        <f>TEXT(A1650,"ddd")</f>
        <v>Sat</v>
      </c>
    </row>
    <row r="1651" spans="1:8" x14ac:dyDescent="0.25">
      <c r="A1651" s="13"/>
      <c r="B1651" s="14"/>
      <c r="C1651" s="39"/>
      <c r="D1651" s="39"/>
      <c r="E1651" s="36" t="str">
        <f>IF(SUM(C1651:D1651)=0," ",SUM(C1651:D1651))</f>
        <v xml:space="preserve"> </v>
      </c>
      <c r="F1651" s="14"/>
      <c r="G1651" s="120" t="e">
        <f>VLOOKUP($B1651,Information!$C$8:$F$15,4,FALSE)</f>
        <v>#N/A</v>
      </c>
      <c r="H1651" s="210" t="str">
        <f>TEXT(A1651,"ddd")</f>
        <v>Sat</v>
      </c>
    </row>
    <row r="1652" spans="1:8" x14ac:dyDescent="0.25">
      <c r="A1652" s="13"/>
      <c r="B1652" s="14"/>
      <c r="C1652" s="39"/>
      <c r="D1652" s="39"/>
      <c r="E1652" s="36" t="str">
        <f>IF(SUM(C1652:D1652)=0," ",SUM(C1652:D1652))</f>
        <v xml:space="preserve"> </v>
      </c>
      <c r="F1652" s="14"/>
      <c r="G1652" s="120" t="e">
        <f>VLOOKUP($B1652,Information!$C$8:$F$15,4,FALSE)</f>
        <v>#N/A</v>
      </c>
      <c r="H1652" s="210" t="str">
        <f>TEXT(A1652,"ddd")</f>
        <v>Sat</v>
      </c>
    </row>
    <row r="1653" spans="1:8" x14ac:dyDescent="0.25">
      <c r="A1653" s="13"/>
      <c r="B1653" s="14"/>
      <c r="C1653" s="39"/>
      <c r="D1653" s="39"/>
      <c r="E1653" s="36" t="str">
        <f>IF(SUM(C1653:D1653)=0," ",SUM(C1653:D1653))</f>
        <v xml:space="preserve"> </v>
      </c>
      <c r="F1653" s="14"/>
      <c r="G1653" s="120" t="e">
        <f>VLOOKUP($B1653,Information!$C$8:$F$15,4,FALSE)</f>
        <v>#N/A</v>
      </c>
      <c r="H1653" s="210" t="str">
        <f>TEXT(A1653,"ddd")</f>
        <v>Sat</v>
      </c>
    </row>
    <row r="1654" spans="1:8" x14ac:dyDescent="0.25">
      <c r="A1654" s="13"/>
      <c r="B1654" s="14"/>
      <c r="C1654" s="39"/>
      <c r="D1654" s="39"/>
      <c r="E1654" s="36" t="str">
        <f>IF(SUM(C1654:D1654)=0," ",SUM(C1654:D1654))</f>
        <v xml:space="preserve"> </v>
      </c>
      <c r="F1654" s="14"/>
      <c r="G1654" s="120" t="e">
        <f>VLOOKUP($B1654,Information!$C$8:$F$15,4,FALSE)</f>
        <v>#N/A</v>
      </c>
      <c r="H1654" s="210" t="str">
        <f>TEXT(A1654,"ddd")</f>
        <v>Sat</v>
      </c>
    </row>
    <row r="1655" spans="1:8" x14ac:dyDescent="0.25">
      <c r="A1655" s="13"/>
      <c r="B1655" s="14"/>
      <c r="C1655" s="39"/>
      <c r="D1655" s="39"/>
      <c r="E1655" s="36" t="str">
        <f>IF(SUM(C1655:D1655)=0," ",SUM(C1655:D1655))</f>
        <v xml:space="preserve"> </v>
      </c>
      <c r="F1655" s="14"/>
      <c r="G1655" s="120" t="e">
        <f>VLOOKUP($B1655,Information!$C$8:$F$15,4,FALSE)</f>
        <v>#N/A</v>
      </c>
      <c r="H1655" s="210" t="str">
        <f>TEXT(A1655,"ddd")</f>
        <v>Sat</v>
      </c>
    </row>
    <row r="1656" spans="1:8" x14ac:dyDescent="0.25">
      <c r="A1656" s="13"/>
      <c r="B1656" s="14"/>
      <c r="C1656" s="39"/>
      <c r="D1656" s="39"/>
      <c r="E1656" s="36" t="str">
        <f>IF(SUM(C1656:D1656)=0," ",SUM(C1656:D1656))</f>
        <v xml:space="preserve"> </v>
      </c>
      <c r="F1656" s="14"/>
      <c r="G1656" s="120" t="e">
        <f>VLOOKUP($B1656,Information!$C$8:$F$15,4,FALSE)</f>
        <v>#N/A</v>
      </c>
      <c r="H1656" s="210" t="str">
        <f>TEXT(A1656,"ddd")</f>
        <v>Sat</v>
      </c>
    </row>
    <row r="1657" spans="1:8" x14ac:dyDescent="0.25">
      <c r="A1657" s="13"/>
      <c r="B1657" s="14"/>
      <c r="C1657" s="39"/>
      <c r="D1657" s="39"/>
      <c r="E1657" s="36" t="str">
        <f>IF(SUM(C1657:D1657)=0," ",SUM(C1657:D1657))</f>
        <v xml:space="preserve"> </v>
      </c>
      <c r="F1657" s="14"/>
      <c r="G1657" s="120" t="e">
        <f>VLOOKUP($B1657,Information!$C$8:$F$15,4,FALSE)</f>
        <v>#N/A</v>
      </c>
      <c r="H1657" s="210" t="str">
        <f>TEXT(A1657,"ddd")</f>
        <v>Sat</v>
      </c>
    </row>
    <row r="1658" spans="1:8" x14ac:dyDescent="0.25">
      <c r="A1658" s="13"/>
      <c r="B1658" s="14"/>
      <c r="C1658" s="39"/>
      <c r="D1658" s="39"/>
      <c r="E1658" s="36" t="str">
        <f>IF(SUM(C1658:D1658)=0," ",SUM(C1658:D1658))</f>
        <v xml:space="preserve"> </v>
      </c>
      <c r="F1658" s="14"/>
      <c r="G1658" s="120" t="e">
        <f>VLOOKUP($B1658,Information!$C$8:$F$15,4,FALSE)</f>
        <v>#N/A</v>
      </c>
      <c r="H1658" s="210" t="str">
        <f>TEXT(A1658,"ddd")</f>
        <v>Sat</v>
      </c>
    </row>
    <row r="1659" spans="1:8" x14ac:dyDescent="0.25">
      <c r="A1659" s="13"/>
      <c r="B1659" s="14"/>
      <c r="C1659" s="39"/>
      <c r="D1659" s="39"/>
      <c r="E1659" s="36" t="str">
        <f>IF(SUM(C1659:D1659)=0," ",SUM(C1659:D1659))</f>
        <v xml:space="preserve"> </v>
      </c>
      <c r="F1659" s="14"/>
      <c r="G1659" s="120" t="e">
        <f>VLOOKUP($B1659,Information!$C$8:$F$15,4,FALSE)</f>
        <v>#N/A</v>
      </c>
      <c r="H1659" s="210" t="str">
        <f>TEXT(A1659,"ddd")</f>
        <v>Sat</v>
      </c>
    </row>
    <row r="1660" spans="1:8" x14ac:dyDescent="0.25">
      <c r="A1660" s="13"/>
      <c r="B1660" s="14"/>
      <c r="C1660" s="39"/>
      <c r="D1660" s="39"/>
      <c r="E1660" s="36" t="str">
        <f>IF(SUM(C1660:D1660)=0," ",SUM(C1660:D1660))</f>
        <v xml:space="preserve"> </v>
      </c>
      <c r="F1660" s="14"/>
      <c r="G1660" s="120" t="e">
        <f>VLOOKUP($B1660,Information!$C$8:$F$15,4,FALSE)</f>
        <v>#N/A</v>
      </c>
      <c r="H1660" s="210" t="str">
        <f>TEXT(A1660,"ddd")</f>
        <v>Sat</v>
      </c>
    </row>
    <row r="1661" spans="1:8" x14ac:dyDescent="0.25">
      <c r="A1661" s="13"/>
      <c r="B1661" s="14"/>
      <c r="C1661" s="39"/>
      <c r="D1661" s="39"/>
      <c r="E1661" s="36" t="str">
        <f>IF(SUM(C1661:D1661)=0," ",SUM(C1661:D1661))</f>
        <v xml:space="preserve"> </v>
      </c>
      <c r="F1661" s="14"/>
      <c r="G1661" s="120" t="e">
        <f>VLOOKUP($B1661,Information!$C$8:$F$15,4,FALSE)</f>
        <v>#N/A</v>
      </c>
      <c r="H1661" s="210" t="str">
        <f>TEXT(A1661,"ddd")</f>
        <v>Sat</v>
      </c>
    </row>
    <row r="1662" spans="1:8" x14ac:dyDescent="0.25">
      <c r="A1662" s="13"/>
      <c r="B1662" s="14"/>
      <c r="C1662" s="39"/>
      <c r="D1662" s="39"/>
      <c r="E1662" s="36" t="str">
        <f>IF(SUM(C1662:D1662)=0," ",SUM(C1662:D1662))</f>
        <v xml:space="preserve"> </v>
      </c>
      <c r="F1662" s="14"/>
      <c r="G1662" s="120" t="e">
        <f>VLOOKUP($B1662,Information!$C$8:$F$15,4,FALSE)</f>
        <v>#N/A</v>
      </c>
      <c r="H1662" s="210" t="str">
        <f>TEXT(A1662,"ddd")</f>
        <v>Sat</v>
      </c>
    </row>
    <row r="1663" spans="1:8" x14ac:dyDescent="0.25">
      <c r="A1663" s="13"/>
      <c r="B1663" s="14"/>
      <c r="C1663" s="39"/>
      <c r="D1663" s="39"/>
      <c r="E1663" s="36" t="str">
        <f>IF(SUM(C1663:D1663)=0," ",SUM(C1663:D1663))</f>
        <v xml:space="preserve"> </v>
      </c>
      <c r="F1663" s="14"/>
      <c r="G1663" s="120" t="e">
        <f>VLOOKUP($B1663,Information!$C$8:$F$15,4,FALSE)</f>
        <v>#N/A</v>
      </c>
      <c r="H1663" s="210" t="str">
        <f>TEXT(A1663,"ddd")</f>
        <v>Sat</v>
      </c>
    </row>
    <row r="1664" spans="1:8" x14ac:dyDescent="0.25">
      <c r="A1664" s="13"/>
      <c r="B1664" s="14"/>
      <c r="C1664" s="39"/>
      <c r="D1664" s="39"/>
      <c r="E1664" s="36" t="str">
        <f>IF(SUM(C1664:D1664)=0," ",SUM(C1664:D1664))</f>
        <v xml:space="preserve"> </v>
      </c>
      <c r="F1664" s="14"/>
      <c r="G1664" s="120" t="e">
        <f>VLOOKUP($B1664,Information!$C$8:$F$15,4,FALSE)</f>
        <v>#N/A</v>
      </c>
      <c r="H1664" s="210" t="str">
        <f>TEXT(A1664,"ddd")</f>
        <v>Sat</v>
      </c>
    </row>
    <row r="1665" spans="1:8" x14ac:dyDescent="0.25">
      <c r="A1665" s="13"/>
      <c r="B1665" s="14"/>
      <c r="C1665" s="39"/>
      <c r="D1665" s="39"/>
      <c r="E1665" s="36" t="str">
        <f>IF(SUM(C1665:D1665)=0," ",SUM(C1665:D1665))</f>
        <v xml:space="preserve"> </v>
      </c>
      <c r="F1665" s="14"/>
      <c r="G1665" s="120" t="e">
        <f>VLOOKUP($B1665,Information!$C$8:$F$15,4,FALSE)</f>
        <v>#N/A</v>
      </c>
      <c r="H1665" s="210" t="str">
        <f>TEXT(A1665,"ddd")</f>
        <v>Sat</v>
      </c>
    </row>
    <row r="1666" spans="1:8" x14ac:dyDescent="0.25">
      <c r="A1666" s="13"/>
      <c r="B1666" s="14"/>
      <c r="C1666" s="39"/>
      <c r="D1666" s="39"/>
      <c r="E1666" s="36" t="str">
        <f>IF(SUM(C1666:D1666)=0," ",SUM(C1666:D1666))</f>
        <v xml:space="preserve"> </v>
      </c>
      <c r="F1666" s="14"/>
      <c r="G1666" s="120" t="e">
        <f>VLOOKUP($B1666,Information!$C$8:$F$15,4,FALSE)</f>
        <v>#N/A</v>
      </c>
      <c r="H1666" s="210" t="str">
        <f>TEXT(A1666,"ddd")</f>
        <v>Sat</v>
      </c>
    </row>
    <row r="1667" spans="1:8" x14ac:dyDescent="0.25">
      <c r="A1667" s="13"/>
      <c r="B1667" s="14"/>
      <c r="C1667" s="39"/>
      <c r="D1667" s="39"/>
      <c r="E1667" s="36" t="str">
        <f>IF(SUM(C1667:D1667)=0," ",SUM(C1667:D1667))</f>
        <v xml:space="preserve"> </v>
      </c>
      <c r="F1667" s="14"/>
      <c r="G1667" s="120" t="e">
        <f>VLOOKUP($B1667,Information!$C$8:$F$15,4,FALSE)</f>
        <v>#N/A</v>
      </c>
      <c r="H1667" s="210" t="str">
        <f>TEXT(A1667,"ddd")</f>
        <v>Sat</v>
      </c>
    </row>
    <row r="1668" spans="1:8" x14ac:dyDescent="0.25">
      <c r="A1668" s="13"/>
      <c r="B1668" s="14"/>
      <c r="C1668" s="39"/>
      <c r="D1668" s="39"/>
      <c r="E1668" s="36" t="str">
        <f>IF(SUM(C1668:D1668)=0," ",SUM(C1668:D1668))</f>
        <v xml:space="preserve"> </v>
      </c>
      <c r="F1668" s="14"/>
      <c r="G1668" s="120" t="e">
        <f>VLOOKUP($B1668,Information!$C$8:$F$15,4,FALSE)</f>
        <v>#N/A</v>
      </c>
      <c r="H1668" s="210" t="str">
        <f>TEXT(A1668,"ddd")</f>
        <v>Sat</v>
      </c>
    </row>
    <row r="1669" spans="1:8" x14ac:dyDescent="0.25">
      <c r="A1669" s="13"/>
      <c r="B1669" s="14"/>
      <c r="C1669" s="39"/>
      <c r="D1669" s="39"/>
      <c r="E1669" s="36" t="str">
        <f>IF(SUM(C1669:D1669)=0," ",SUM(C1669:D1669))</f>
        <v xml:space="preserve"> </v>
      </c>
      <c r="F1669" s="14"/>
      <c r="G1669" s="120" t="e">
        <f>VLOOKUP($B1669,Information!$C$8:$F$15,4,FALSE)</f>
        <v>#N/A</v>
      </c>
      <c r="H1669" s="210" t="str">
        <f>TEXT(A1669,"ddd")</f>
        <v>Sat</v>
      </c>
    </row>
    <row r="1670" spans="1:8" x14ac:dyDescent="0.25">
      <c r="A1670" s="13"/>
      <c r="B1670" s="14"/>
      <c r="C1670" s="39"/>
      <c r="D1670" s="39"/>
      <c r="E1670" s="36" t="str">
        <f>IF(SUM(C1670:D1670)=0," ",SUM(C1670:D1670))</f>
        <v xml:space="preserve"> </v>
      </c>
      <c r="F1670" s="14"/>
      <c r="G1670" s="120" t="e">
        <f>VLOOKUP($B1670,Information!$C$8:$F$15,4,FALSE)</f>
        <v>#N/A</v>
      </c>
      <c r="H1670" s="210" t="str">
        <f>TEXT(A1670,"ddd")</f>
        <v>Sat</v>
      </c>
    </row>
    <row r="1671" spans="1:8" x14ac:dyDescent="0.25">
      <c r="A1671" s="13"/>
      <c r="B1671" s="14"/>
      <c r="C1671" s="39"/>
      <c r="D1671" s="39"/>
      <c r="E1671" s="36" t="str">
        <f>IF(SUM(C1671:D1671)=0," ",SUM(C1671:D1671))</f>
        <v xml:space="preserve"> </v>
      </c>
      <c r="F1671" s="14"/>
      <c r="G1671" s="120" t="e">
        <f>VLOOKUP($B1671,Information!$C$8:$F$15,4,FALSE)</f>
        <v>#N/A</v>
      </c>
      <c r="H1671" s="210" t="str">
        <f>TEXT(A1671,"ddd")</f>
        <v>Sat</v>
      </c>
    </row>
    <row r="1672" spans="1:8" x14ac:dyDescent="0.25">
      <c r="A1672" s="13"/>
      <c r="B1672" s="14"/>
      <c r="C1672" s="39"/>
      <c r="D1672" s="39"/>
      <c r="E1672" s="36" t="str">
        <f>IF(SUM(C1672:D1672)=0," ",SUM(C1672:D1672))</f>
        <v xml:space="preserve"> </v>
      </c>
      <c r="F1672" s="14"/>
      <c r="G1672" s="120" t="e">
        <f>VLOOKUP($B1672,Information!$C$8:$F$15,4,FALSE)</f>
        <v>#N/A</v>
      </c>
      <c r="H1672" s="210" t="str">
        <f>TEXT(A1672,"ddd")</f>
        <v>Sat</v>
      </c>
    </row>
    <row r="1673" spans="1:8" x14ac:dyDescent="0.25">
      <c r="A1673" s="13"/>
      <c r="B1673" s="14"/>
      <c r="C1673" s="39"/>
      <c r="D1673" s="39"/>
      <c r="E1673" s="36" t="str">
        <f>IF(SUM(C1673:D1673)=0," ",SUM(C1673:D1673))</f>
        <v xml:space="preserve"> </v>
      </c>
      <c r="F1673" s="14"/>
      <c r="G1673" s="120" t="e">
        <f>VLOOKUP($B1673,Information!$C$8:$F$15,4,FALSE)</f>
        <v>#N/A</v>
      </c>
      <c r="H1673" s="210" t="str">
        <f>TEXT(A1673,"ddd")</f>
        <v>Sat</v>
      </c>
    </row>
    <row r="1674" spans="1:8" x14ac:dyDescent="0.25">
      <c r="A1674" s="13"/>
      <c r="B1674" s="14"/>
      <c r="C1674" s="39"/>
      <c r="D1674" s="39"/>
      <c r="E1674" s="36" t="str">
        <f>IF(SUM(C1674:D1674)=0," ",SUM(C1674:D1674))</f>
        <v xml:space="preserve"> </v>
      </c>
      <c r="F1674" s="14"/>
      <c r="G1674" s="120" t="e">
        <f>VLOOKUP($B1674,Information!$C$8:$F$15,4,FALSE)</f>
        <v>#N/A</v>
      </c>
      <c r="H1674" s="210" t="str">
        <f>TEXT(A1674,"ddd")</f>
        <v>Sat</v>
      </c>
    </row>
    <row r="1675" spans="1:8" x14ac:dyDescent="0.25">
      <c r="A1675" s="13"/>
      <c r="B1675" s="14"/>
      <c r="C1675" s="39"/>
      <c r="D1675" s="39"/>
      <c r="E1675" s="36" t="str">
        <f>IF(SUM(C1675:D1675)=0," ",SUM(C1675:D1675))</f>
        <v xml:space="preserve"> </v>
      </c>
      <c r="F1675" s="14"/>
      <c r="G1675" s="120" t="e">
        <f>VLOOKUP($B1675,Information!$C$8:$F$15,4,FALSE)</f>
        <v>#N/A</v>
      </c>
      <c r="H1675" s="210" t="str">
        <f>TEXT(A1675,"ddd")</f>
        <v>Sat</v>
      </c>
    </row>
    <row r="1676" spans="1:8" x14ac:dyDescent="0.25">
      <c r="A1676" s="13"/>
      <c r="B1676" s="14"/>
      <c r="C1676" s="39"/>
      <c r="D1676" s="39"/>
      <c r="E1676" s="36" t="str">
        <f>IF(SUM(C1676:D1676)=0," ",SUM(C1676:D1676))</f>
        <v xml:space="preserve"> </v>
      </c>
      <c r="F1676" s="14"/>
      <c r="G1676" s="120" t="e">
        <f>VLOOKUP($B1676,Information!$C$8:$F$15,4,FALSE)</f>
        <v>#N/A</v>
      </c>
      <c r="H1676" s="210" t="str">
        <f>TEXT(A1676,"ddd")</f>
        <v>Sat</v>
      </c>
    </row>
    <row r="1677" spans="1:8" x14ac:dyDescent="0.25">
      <c r="A1677" s="13"/>
      <c r="B1677" s="14"/>
      <c r="C1677" s="39"/>
      <c r="D1677" s="39"/>
      <c r="E1677" s="36" t="str">
        <f>IF(SUM(C1677:D1677)=0," ",SUM(C1677:D1677))</f>
        <v xml:space="preserve"> </v>
      </c>
      <c r="F1677" s="14"/>
      <c r="G1677" s="120" t="e">
        <f>VLOOKUP($B1677,Information!$C$8:$F$15,4,FALSE)</f>
        <v>#N/A</v>
      </c>
      <c r="H1677" s="210" t="str">
        <f>TEXT(A1677,"ddd")</f>
        <v>Sat</v>
      </c>
    </row>
    <row r="1678" spans="1:8" x14ac:dyDescent="0.25">
      <c r="A1678" s="13"/>
      <c r="B1678" s="14"/>
      <c r="C1678" s="39"/>
      <c r="D1678" s="39"/>
      <c r="E1678" s="36" t="str">
        <f>IF(SUM(C1678:D1678)=0," ",SUM(C1678:D1678))</f>
        <v xml:space="preserve"> </v>
      </c>
      <c r="F1678" s="14"/>
      <c r="G1678" s="120" t="e">
        <f>VLOOKUP($B1678,Information!$C$8:$F$15,4,FALSE)</f>
        <v>#N/A</v>
      </c>
      <c r="H1678" s="210" t="str">
        <f>TEXT(A1678,"ddd")</f>
        <v>Sat</v>
      </c>
    </row>
    <row r="1679" spans="1:8" x14ac:dyDescent="0.25">
      <c r="A1679" s="13"/>
      <c r="B1679" s="14"/>
      <c r="C1679" s="39"/>
      <c r="D1679" s="39"/>
      <c r="E1679" s="36" t="str">
        <f>IF(SUM(C1679:D1679)=0," ",SUM(C1679:D1679))</f>
        <v xml:space="preserve"> </v>
      </c>
      <c r="F1679" s="14"/>
      <c r="G1679" s="120" t="e">
        <f>VLOOKUP($B1679,Information!$C$8:$F$15,4,FALSE)</f>
        <v>#N/A</v>
      </c>
      <c r="H1679" s="210" t="str">
        <f>TEXT(A1679,"ddd")</f>
        <v>Sat</v>
      </c>
    </row>
    <row r="1680" spans="1:8" x14ac:dyDescent="0.25">
      <c r="A1680" s="13"/>
      <c r="B1680" s="14"/>
      <c r="C1680" s="39"/>
      <c r="D1680" s="39"/>
      <c r="E1680" s="36" t="str">
        <f>IF(SUM(C1680:D1680)=0," ",SUM(C1680:D1680))</f>
        <v xml:space="preserve"> </v>
      </c>
      <c r="F1680" s="14"/>
      <c r="G1680" s="120" t="e">
        <f>VLOOKUP($B1680,Information!$C$8:$F$15,4,FALSE)</f>
        <v>#N/A</v>
      </c>
      <c r="H1680" s="210" t="str">
        <f>TEXT(A1680,"ddd")</f>
        <v>Sat</v>
      </c>
    </row>
    <row r="1681" spans="1:8" x14ac:dyDescent="0.25">
      <c r="A1681" s="13"/>
      <c r="B1681" s="14"/>
      <c r="C1681" s="39"/>
      <c r="D1681" s="39"/>
      <c r="E1681" s="36" t="str">
        <f>IF(SUM(C1681:D1681)=0," ",SUM(C1681:D1681))</f>
        <v xml:space="preserve"> </v>
      </c>
      <c r="F1681" s="14"/>
      <c r="G1681" s="120" t="e">
        <f>VLOOKUP($B1681,Information!$C$8:$F$15,4,FALSE)</f>
        <v>#N/A</v>
      </c>
      <c r="H1681" s="210" t="str">
        <f>TEXT(A1681,"ddd")</f>
        <v>Sat</v>
      </c>
    </row>
    <row r="1682" spans="1:8" x14ac:dyDescent="0.25">
      <c r="A1682" s="13"/>
      <c r="B1682" s="14"/>
      <c r="C1682" s="39"/>
      <c r="D1682" s="39"/>
      <c r="E1682" s="36" t="str">
        <f>IF(SUM(C1682:D1682)=0," ",SUM(C1682:D1682))</f>
        <v xml:space="preserve"> </v>
      </c>
      <c r="F1682" s="14"/>
      <c r="G1682" s="120" t="e">
        <f>VLOOKUP($B1682,Information!$C$8:$F$15,4,FALSE)</f>
        <v>#N/A</v>
      </c>
      <c r="H1682" s="210" t="str">
        <f>TEXT(A1682,"ddd")</f>
        <v>Sat</v>
      </c>
    </row>
    <row r="1683" spans="1:8" x14ac:dyDescent="0.25">
      <c r="A1683" s="13"/>
      <c r="B1683" s="14"/>
      <c r="C1683" s="39"/>
      <c r="D1683" s="39"/>
      <c r="E1683" s="36" t="str">
        <f>IF(SUM(C1683:D1683)=0," ",SUM(C1683:D1683))</f>
        <v xml:space="preserve"> </v>
      </c>
      <c r="F1683" s="14"/>
      <c r="G1683" s="120" t="e">
        <f>VLOOKUP($B1683,Information!$C$8:$F$15,4,FALSE)</f>
        <v>#N/A</v>
      </c>
      <c r="H1683" s="210" t="str">
        <f>TEXT(A1683,"ddd")</f>
        <v>Sat</v>
      </c>
    </row>
    <row r="1684" spans="1:8" x14ac:dyDescent="0.25">
      <c r="A1684" s="13"/>
      <c r="B1684" s="14"/>
      <c r="C1684" s="39"/>
      <c r="D1684" s="39"/>
      <c r="E1684" s="36" t="str">
        <f>IF(SUM(C1684:D1684)=0," ",SUM(C1684:D1684))</f>
        <v xml:space="preserve"> </v>
      </c>
      <c r="F1684" s="14"/>
      <c r="G1684" s="120" t="e">
        <f>VLOOKUP($B1684,Information!$C$8:$F$15,4,FALSE)</f>
        <v>#N/A</v>
      </c>
      <c r="H1684" s="210" t="str">
        <f>TEXT(A1684,"ddd")</f>
        <v>Sat</v>
      </c>
    </row>
    <row r="1685" spans="1:8" x14ac:dyDescent="0.25">
      <c r="A1685" s="13"/>
      <c r="B1685" s="14"/>
      <c r="C1685" s="39"/>
      <c r="D1685" s="39"/>
      <c r="E1685" s="36" t="str">
        <f>IF(SUM(C1685:D1685)=0," ",SUM(C1685:D1685))</f>
        <v xml:space="preserve"> </v>
      </c>
      <c r="F1685" s="14"/>
      <c r="G1685" s="120" t="e">
        <f>VLOOKUP($B1685,Information!$C$8:$F$15,4,FALSE)</f>
        <v>#N/A</v>
      </c>
      <c r="H1685" s="210" t="str">
        <f>TEXT(A1685,"ddd")</f>
        <v>Sat</v>
      </c>
    </row>
    <row r="1686" spans="1:8" x14ac:dyDescent="0.25">
      <c r="A1686" s="13"/>
      <c r="B1686" s="14"/>
      <c r="C1686" s="39"/>
      <c r="D1686" s="39"/>
      <c r="E1686" s="36" t="str">
        <f>IF(SUM(C1686:D1686)=0," ",SUM(C1686:D1686))</f>
        <v xml:space="preserve"> </v>
      </c>
      <c r="F1686" s="14"/>
      <c r="G1686" s="120" t="e">
        <f>VLOOKUP($B1686,Information!$C$8:$F$15,4,FALSE)</f>
        <v>#N/A</v>
      </c>
      <c r="H1686" s="210" t="str">
        <f>TEXT(A1686,"ddd")</f>
        <v>Sat</v>
      </c>
    </row>
    <row r="1687" spans="1:8" x14ac:dyDescent="0.25">
      <c r="A1687" s="13"/>
      <c r="B1687" s="14"/>
      <c r="C1687" s="39"/>
      <c r="D1687" s="39"/>
      <c r="E1687" s="36" t="str">
        <f>IF(SUM(C1687:D1687)=0," ",SUM(C1687:D1687))</f>
        <v xml:space="preserve"> </v>
      </c>
      <c r="F1687" s="14"/>
      <c r="G1687" s="120" t="e">
        <f>VLOOKUP($B1687,Information!$C$8:$F$15,4,FALSE)</f>
        <v>#N/A</v>
      </c>
      <c r="H1687" s="210" t="str">
        <f>TEXT(A1687,"ddd")</f>
        <v>Sat</v>
      </c>
    </row>
    <row r="1688" spans="1:8" x14ac:dyDescent="0.25">
      <c r="A1688" s="13"/>
      <c r="B1688" s="14"/>
      <c r="C1688" s="39"/>
      <c r="D1688" s="39"/>
      <c r="E1688" s="36" t="str">
        <f>IF(SUM(C1688:D1688)=0," ",SUM(C1688:D1688))</f>
        <v xml:space="preserve"> </v>
      </c>
      <c r="F1688" s="14"/>
      <c r="G1688" s="120" t="e">
        <f>VLOOKUP($B1688,Information!$C$8:$F$15,4,FALSE)</f>
        <v>#N/A</v>
      </c>
      <c r="H1688" s="210" t="str">
        <f>TEXT(A1688,"ddd")</f>
        <v>Sat</v>
      </c>
    </row>
    <row r="1689" spans="1:8" x14ac:dyDescent="0.25">
      <c r="A1689" s="13"/>
      <c r="B1689" s="14"/>
      <c r="C1689" s="39"/>
      <c r="D1689" s="39"/>
      <c r="E1689" s="36" t="str">
        <f>IF(SUM(C1689:D1689)=0," ",SUM(C1689:D1689))</f>
        <v xml:space="preserve"> </v>
      </c>
      <c r="F1689" s="14"/>
      <c r="G1689" s="120" t="e">
        <f>VLOOKUP($B1689,Information!$C$8:$F$15,4,FALSE)</f>
        <v>#N/A</v>
      </c>
      <c r="H1689" s="210" t="str">
        <f>TEXT(A1689,"ddd")</f>
        <v>Sat</v>
      </c>
    </row>
    <row r="1690" spans="1:8" x14ac:dyDescent="0.25">
      <c r="A1690" s="13"/>
      <c r="B1690" s="14"/>
      <c r="C1690" s="39"/>
      <c r="D1690" s="39"/>
      <c r="E1690" s="36" t="str">
        <f>IF(SUM(C1690:D1690)=0," ",SUM(C1690:D1690))</f>
        <v xml:space="preserve"> </v>
      </c>
      <c r="F1690" s="14"/>
      <c r="G1690" s="120" t="e">
        <f>VLOOKUP($B1690,Information!$C$8:$F$15,4,FALSE)</f>
        <v>#N/A</v>
      </c>
      <c r="H1690" s="210" t="str">
        <f>TEXT(A1690,"ddd")</f>
        <v>Sat</v>
      </c>
    </row>
    <row r="1691" spans="1:8" x14ac:dyDescent="0.25">
      <c r="A1691" s="13"/>
      <c r="B1691" s="14"/>
      <c r="C1691" s="39"/>
      <c r="D1691" s="39"/>
      <c r="E1691" s="36" t="str">
        <f>IF(SUM(C1691:D1691)=0," ",SUM(C1691:D1691))</f>
        <v xml:space="preserve"> </v>
      </c>
      <c r="F1691" s="14"/>
      <c r="G1691" s="120" t="e">
        <f>VLOOKUP($B1691,Information!$C$8:$F$15,4,FALSE)</f>
        <v>#N/A</v>
      </c>
      <c r="H1691" s="210" t="str">
        <f>TEXT(A1691,"ddd")</f>
        <v>Sat</v>
      </c>
    </row>
    <row r="1692" spans="1:8" x14ac:dyDescent="0.25">
      <c r="A1692" s="13"/>
      <c r="B1692" s="14"/>
      <c r="C1692" s="39"/>
      <c r="D1692" s="39"/>
      <c r="E1692" s="36" t="str">
        <f>IF(SUM(C1692:D1692)=0," ",SUM(C1692:D1692))</f>
        <v xml:space="preserve"> </v>
      </c>
      <c r="F1692" s="14"/>
      <c r="G1692" s="120" t="e">
        <f>VLOOKUP($B1692,Information!$C$8:$F$15,4,FALSE)</f>
        <v>#N/A</v>
      </c>
      <c r="H1692" s="210" t="str">
        <f>TEXT(A1692,"ddd")</f>
        <v>Sat</v>
      </c>
    </row>
    <row r="1693" spans="1:8" x14ac:dyDescent="0.25">
      <c r="A1693" s="13"/>
      <c r="B1693" s="14"/>
      <c r="C1693" s="39"/>
      <c r="D1693" s="39"/>
      <c r="E1693" s="36" t="str">
        <f>IF(SUM(C1693:D1693)=0," ",SUM(C1693:D1693))</f>
        <v xml:space="preserve"> </v>
      </c>
      <c r="F1693" s="14"/>
      <c r="G1693" s="120" t="e">
        <f>VLOOKUP($B1693,Information!$C$8:$F$15,4,FALSE)</f>
        <v>#N/A</v>
      </c>
      <c r="H1693" s="210" t="str">
        <f>TEXT(A1693,"ddd")</f>
        <v>Sat</v>
      </c>
    </row>
    <row r="1694" spans="1:8" x14ac:dyDescent="0.25">
      <c r="A1694" s="13"/>
      <c r="B1694" s="14"/>
      <c r="C1694" s="39"/>
      <c r="D1694" s="39"/>
      <c r="E1694" s="36" t="str">
        <f>IF(SUM(C1694:D1694)=0," ",SUM(C1694:D1694))</f>
        <v xml:space="preserve"> </v>
      </c>
      <c r="F1694" s="14"/>
      <c r="G1694" s="120" t="e">
        <f>VLOOKUP($B1694,Information!$C$8:$F$15,4,FALSE)</f>
        <v>#N/A</v>
      </c>
      <c r="H1694" s="210" t="str">
        <f>TEXT(A1694,"ddd")</f>
        <v>Sat</v>
      </c>
    </row>
    <row r="1695" spans="1:8" x14ac:dyDescent="0.25">
      <c r="A1695" s="13"/>
      <c r="B1695" s="14"/>
      <c r="C1695" s="39"/>
      <c r="D1695" s="39"/>
      <c r="E1695" s="36" t="str">
        <f>IF(SUM(C1695:D1695)=0," ",SUM(C1695:D1695))</f>
        <v xml:space="preserve"> </v>
      </c>
      <c r="F1695" s="14"/>
      <c r="G1695" s="120" t="e">
        <f>VLOOKUP($B1695,Information!$C$8:$F$15,4,FALSE)</f>
        <v>#N/A</v>
      </c>
      <c r="H1695" s="210" t="str">
        <f>TEXT(A1695,"ddd")</f>
        <v>Sat</v>
      </c>
    </row>
    <row r="1696" spans="1:8" x14ac:dyDescent="0.25">
      <c r="A1696" s="13"/>
      <c r="B1696" s="14"/>
      <c r="C1696" s="39"/>
      <c r="D1696" s="39"/>
      <c r="E1696" s="36" t="str">
        <f>IF(SUM(C1696:D1696)=0," ",SUM(C1696:D1696))</f>
        <v xml:space="preserve"> </v>
      </c>
      <c r="F1696" s="14"/>
      <c r="G1696" s="120" t="e">
        <f>VLOOKUP($B1696,Information!$C$8:$F$15,4,FALSE)</f>
        <v>#N/A</v>
      </c>
      <c r="H1696" s="210" t="str">
        <f>TEXT(A1696,"ddd")</f>
        <v>Sat</v>
      </c>
    </row>
    <row r="1697" spans="1:8" x14ac:dyDescent="0.25">
      <c r="A1697" s="13"/>
      <c r="B1697" s="14"/>
      <c r="C1697" s="39"/>
      <c r="D1697" s="39"/>
      <c r="E1697" s="36" t="str">
        <f>IF(SUM(C1697:D1697)=0," ",SUM(C1697:D1697))</f>
        <v xml:space="preserve"> </v>
      </c>
      <c r="F1697" s="14"/>
      <c r="G1697" s="120" t="e">
        <f>VLOOKUP($B1697,Information!$C$8:$F$15,4,FALSE)</f>
        <v>#N/A</v>
      </c>
      <c r="H1697" s="210" t="str">
        <f>TEXT(A1697,"ddd")</f>
        <v>Sat</v>
      </c>
    </row>
    <row r="1698" spans="1:8" x14ac:dyDescent="0.25">
      <c r="A1698" s="13"/>
      <c r="B1698" s="14"/>
      <c r="C1698" s="39"/>
      <c r="D1698" s="39"/>
      <c r="E1698" s="36" t="str">
        <f>IF(SUM(C1698:D1698)=0," ",SUM(C1698:D1698))</f>
        <v xml:space="preserve"> </v>
      </c>
      <c r="F1698" s="14"/>
      <c r="G1698" s="120" t="e">
        <f>VLOOKUP($B1698,Information!$C$8:$F$15,4,FALSE)</f>
        <v>#N/A</v>
      </c>
      <c r="H1698" s="210" t="str">
        <f>TEXT(A1698,"ddd")</f>
        <v>Sat</v>
      </c>
    </row>
    <row r="1699" spans="1:8" x14ac:dyDescent="0.25">
      <c r="A1699" s="13"/>
      <c r="B1699" s="14"/>
      <c r="C1699" s="39"/>
      <c r="D1699" s="39"/>
      <c r="E1699" s="36" t="str">
        <f>IF(SUM(C1699:D1699)=0," ",SUM(C1699:D1699))</f>
        <v xml:space="preserve"> </v>
      </c>
      <c r="F1699" s="14"/>
      <c r="G1699" s="120" t="e">
        <f>VLOOKUP($B1699,Information!$C$8:$F$15,4,FALSE)</f>
        <v>#N/A</v>
      </c>
      <c r="H1699" s="210" t="str">
        <f>TEXT(A1699,"ddd")</f>
        <v>Sat</v>
      </c>
    </row>
    <row r="1700" spans="1:8" x14ac:dyDescent="0.25">
      <c r="A1700" s="13"/>
      <c r="B1700" s="14"/>
      <c r="C1700" s="39"/>
      <c r="D1700" s="39"/>
      <c r="E1700" s="36" t="str">
        <f>IF(SUM(C1700:D1700)=0," ",SUM(C1700:D1700))</f>
        <v xml:space="preserve"> </v>
      </c>
      <c r="F1700" s="14"/>
      <c r="G1700" s="120" t="e">
        <f>VLOOKUP($B1700,Information!$C$8:$F$15,4,FALSE)</f>
        <v>#N/A</v>
      </c>
      <c r="H1700" s="210" t="str">
        <f>TEXT(A1700,"ddd")</f>
        <v>Sat</v>
      </c>
    </row>
    <row r="1701" spans="1:8" x14ac:dyDescent="0.25">
      <c r="A1701" s="13"/>
      <c r="B1701" s="14"/>
      <c r="C1701" s="39"/>
      <c r="D1701" s="39"/>
      <c r="E1701" s="36" t="str">
        <f>IF(SUM(C1701:D1701)=0," ",SUM(C1701:D1701))</f>
        <v xml:space="preserve"> </v>
      </c>
      <c r="F1701" s="14"/>
      <c r="G1701" s="120" t="e">
        <f>VLOOKUP($B1701,Information!$C$8:$F$15,4,FALSE)</f>
        <v>#N/A</v>
      </c>
      <c r="H1701" s="210" t="str">
        <f>TEXT(A1701,"ddd")</f>
        <v>Sat</v>
      </c>
    </row>
    <row r="1702" spans="1:8" x14ac:dyDescent="0.25">
      <c r="A1702" s="13"/>
      <c r="B1702" s="14"/>
      <c r="C1702" s="39"/>
      <c r="D1702" s="39"/>
      <c r="E1702" s="36" t="str">
        <f>IF(SUM(C1702:D1702)=0," ",SUM(C1702:D1702))</f>
        <v xml:space="preserve"> </v>
      </c>
      <c r="F1702" s="14"/>
      <c r="G1702" s="120" t="e">
        <f>VLOOKUP($B1702,Information!$C$8:$F$15,4,FALSE)</f>
        <v>#N/A</v>
      </c>
      <c r="H1702" s="210" t="str">
        <f>TEXT(A1702,"ddd")</f>
        <v>Sat</v>
      </c>
    </row>
    <row r="1703" spans="1:8" x14ac:dyDescent="0.25">
      <c r="A1703" s="13"/>
      <c r="B1703" s="14"/>
      <c r="C1703" s="39"/>
      <c r="D1703" s="39"/>
      <c r="E1703" s="36" t="str">
        <f>IF(SUM(C1703:D1703)=0," ",SUM(C1703:D1703))</f>
        <v xml:space="preserve"> </v>
      </c>
      <c r="F1703" s="14"/>
      <c r="G1703" s="120" t="e">
        <f>VLOOKUP($B1703,Information!$C$8:$F$15,4,FALSE)</f>
        <v>#N/A</v>
      </c>
      <c r="H1703" s="210" t="str">
        <f>TEXT(A1703,"ddd")</f>
        <v>Sat</v>
      </c>
    </row>
    <row r="1704" spans="1:8" x14ac:dyDescent="0.25">
      <c r="A1704" s="13"/>
      <c r="B1704" s="14"/>
      <c r="C1704" s="39"/>
      <c r="D1704" s="39"/>
      <c r="E1704" s="36" t="str">
        <f>IF(SUM(C1704:D1704)=0," ",SUM(C1704:D1704))</f>
        <v xml:space="preserve"> </v>
      </c>
      <c r="F1704" s="14"/>
      <c r="G1704" s="120" t="e">
        <f>VLOOKUP($B1704,Information!$C$8:$F$15,4,FALSE)</f>
        <v>#N/A</v>
      </c>
      <c r="H1704" s="210" t="str">
        <f>TEXT(A1704,"ddd")</f>
        <v>Sat</v>
      </c>
    </row>
    <row r="1705" spans="1:8" x14ac:dyDescent="0.25">
      <c r="A1705" s="13"/>
      <c r="B1705" s="14"/>
      <c r="C1705" s="39"/>
      <c r="D1705" s="39"/>
      <c r="E1705" s="36" t="str">
        <f>IF(SUM(C1705:D1705)=0," ",SUM(C1705:D1705))</f>
        <v xml:space="preserve"> </v>
      </c>
      <c r="F1705" s="14"/>
      <c r="G1705" s="120" t="e">
        <f>VLOOKUP($B1705,Information!$C$8:$F$15,4,FALSE)</f>
        <v>#N/A</v>
      </c>
      <c r="H1705" s="210" t="str">
        <f>TEXT(A1705,"ddd")</f>
        <v>Sat</v>
      </c>
    </row>
    <row r="1706" spans="1:8" x14ac:dyDescent="0.25">
      <c r="A1706" s="13"/>
      <c r="B1706" s="14"/>
      <c r="C1706" s="39"/>
      <c r="D1706" s="39"/>
      <c r="E1706" s="36" t="str">
        <f>IF(SUM(C1706:D1706)=0," ",SUM(C1706:D1706))</f>
        <v xml:space="preserve"> </v>
      </c>
      <c r="F1706" s="14"/>
      <c r="G1706" s="120" t="e">
        <f>VLOOKUP($B1706,Information!$C$8:$F$15,4,FALSE)</f>
        <v>#N/A</v>
      </c>
      <c r="H1706" s="210" t="str">
        <f>TEXT(A1706,"ddd")</f>
        <v>Sat</v>
      </c>
    </row>
    <row r="1707" spans="1:8" x14ac:dyDescent="0.25">
      <c r="A1707" s="13"/>
      <c r="B1707" s="14"/>
      <c r="C1707" s="39"/>
      <c r="D1707" s="39"/>
      <c r="E1707" s="36" t="str">
        <f>IF(SUM(C1707:D1707)=0," ",SUM(C1707:D1707))</f>
        <v xml:space="preserve"> </v>
      </c>
      <c r="F1707" s="14"/>
      <c r="G1707" s="120" t="e">
        <f>VLOOKUP($B1707,Information!$C$8:$F$15,4,FALSE)</f>
        <v>#N/A</v>
      </c>
      <c r="H1707" s="210" t="str">
        <f>TEXT(A1707,"ddd")</f>
        <v>Sat</v>
      </c>
    </row>
    <row r="1708" spans="1:8" x14ac:dyDescent="0.25">
      <c r="A1708" s="13"/>
      <c r="B1708" s="14"/>
      <c r="C1708" s="39"/>
      <c r="D1708" s="39"/>
      <c r="E1708" s="36" t="str">
        <f>IF(SUM(C1708:D1708)=0," ",SUM(C1708:D1708))</f>
        <v xml:space="preserve"> </v>
      </c>
      <c r="F1708" s="14"/>
      <c r="G1708" s="120" t="e">
        <f>VLOOKUP($B1708,Information!$C$8:$F$15,4,FALSE)</f>
        <v>#N/A</v>
      </c>
      <c r="H1708" s="210" t="str">
        <f>TEXT(A1708,"ddd")</f>
        <v>Sat</v>
      </c>
    </row>
    <row r="1709" spans="1:8" x14ac:dyDescent="0.25">
      <c r="A1709" s="13"/>
      <c r="B1709" s="14"/>
      <c r="C1709" s="39"/>
      <c r="D1709" s="39"/>
      <c r="E1709" s="36" t="str">
        <f>IF(SUM(C1709:D1709)=0," ",SUM(C1709:D1709))</f>
        <v xml:space="preserve"> </v>
      </c>
      <c r="F1709" s="14"/>
      <c r="G1709" s="120" t="e">
        <f>VLOOKUP($B1709,Information!$C$8:$F$15,4,FALSE)</f>
        <v>#N/A</v>
      </c>
      <c r="H1709" s="210" t="str">
        <f>TEXT(A1709,"ddd")</f>
        <v>Sat</v>
      </c>
    </row>
    <row r="1710" spans="1:8" x14ac:dyDescent="0.25">
      <c r="A1710" s="13"/>
      <c r="B1710" s="14"/>
      <c r="C1710" s="39"/>
      <c r="D1710" s="39"/>
      <c r="E1710" s="36" t="str">
        <f>IF(SUM(C1710:D1710)=0," ",SUM(C1710:D1710))</f>
        <v xml:space="preserve"> </v>
      </c>
      <c r="F1710" s="14"/>
      <c r="G1710" s="120" t="e">
        <f>VLOOKUP($B1710,Information!$C$8:$F$15,4,FALSE)</f>
        <v>#N/A</v>
      </c>
      <c r="H1710" s="210" t="str">
        <f>TEXT(A1710,"ddd")</f>
        <v>Sat</v>
      </c>
    </row>
    <row r="1711" spans="1:8" x14ac:dyDescent="0.25">
      <c r="A1711" s="13"/>
      <c r="B1711" s="14"/>
      <c r="C1711" s="39"/>
      <c r="D1711" s="39"/>
      <c r="E1711" s="36" t="str">
        <f>IF(SUM(C1711:D1711)=0," ",SUM(C1711:D1711))</f>
        <v xml:space="preserve"> </v>
      </c>
      <c r="F1711" s="14"/>
      <c r="G1711" s="120" t="e">
        <f>VLOOKUP($B1711,Information!$C$8:$F$15,4,FALSE)</f>
        <v>#N/A</v>
      </c>
      <c r="H1711" s="210" t="str">
        <f>TEXT(A1711,"ddd")</f>
        <v>Sat</v>
      </c>
    </row>
    <row r="1712" spans="1:8" x14ac:dyDescent="0.25">
      <c r="A1712" s="13"/>
      <c r="B1712" s="14"/>
      <c r="C1712" s="39"/>
      <c r="D1712" s="39"/>
      <c r="E1712" s="36" t="str">
        <f>IF(SUM(C1712:D1712)=0," ",SUM(C1712:D1712))</f>
        <v xml:space="preserve"> </v>
      </c>
      <c r="F1712" s="14"/>
      <c r="G1712" s="120" t="e">
        <f>VLOOKUP($B1712,Information!$C$8:$F$15,4,FALSE)</f>
        <v>#N/A</v>
      </c>
      <c r="H1712" s="210" t="str">
        <f>TEXT(A1712,"ddd")</f>
        <v>Sat</v>
      </c>
    </row>
    <row r="1713" spans="1:8" x14ac:dyDescent="0.25">
      <c r="A1713" s="13"/>
      <c r="B1713" s="14"/>
      <c r="C1713" s="39"/>
      <c r="D1713" s="39"/>
      <c r="E1713" s="36" t="str">
        <f>IF(SUM(C1713:D1713)=0," ",SUM(C1713:D1713))</f>
        <v xml:space="preserve"> </v>
      </c>
      <c r="F1713" s="14"/>
      <c r="G1713" s="120" t="e">
        <f>VLOOKUP($B1713,Information!$C$8:$F$15,4,FALSE)</f>
        <v>#N/A</v>
      </c>
      <c r="H1713" s="210" t="str">
        <f>TEXT(A1713,"ddd")</f>
        <v>Sat</v>
      </c>
    </row>
    <row r="1714" spans="1:8" x14ac:dyDescent="0.25">
      <c r="A1714" s="13"/>
      <c r="B1714" s="14"/>
      <c r="C1714" s="39"/>
      <c r="D1714" s="39"/>
      <c r="E1714" s="36" t="str">
        <f>IF(SUM(C1714:D1714)=0," ",SUM(C1714:D1714))</f>
        <v xml:space="preserve"> </v>
      </c>
      <c r="F1714" s="14"/>
      <c r="G1714" s="120" t="e">
        <f>VLOOKUP($B1714,Information!$C$8:$F$15,4,FALSE)</f>
        <v>#N/A</v>
      </c>
      <c r="H1714" s="210" t="str">
        <f>TEXT(A1714,"ddd")</f>
        <v>Sat</v>
      </c>
    </row>
    <row r="1715" spans="1:8" x14ac:dyDescent="0.25">
      <c r="A1715" s="13"/>
      <c r="B1715" s="14"/>
      <c r="C1715" s="39"/>
      <c r="D1715" s="39"/>
      <c r="E1715" s="36" t="str">
        <f>IF(SUM(C1715:D1715)=0," ",SUM(C1715:D1715))</f>
        <v xml:space="preserve"> </v>
      </c>
      <c r="F1715" s="14"/>
      <c r="G1715" s="120" t="e">
        <f>VLOOKUP($B1715,Information!$C$8:$F$15,4,FALSE)</f>
        <v>#N/A</v>
      </c>
      <c r="H1715" s="210" t="str">
        <f>TEXT(A1715,"ddd")</f>
        <v>Sat</v>
      </c>
    </row>
    <row r="1716" spans="1:8" x14ac:dyDescent="0.25">
      <c r="A1716" s="13"/>
      <c r="B1716" s="14"/>
      <c r="C1716" s="39"/>
      <c r="D1716" s="39"/>
      <c r="E1716" s="36" t="str">
        <f>IF(SUM(C1716:D1716)=0," ",SUM(C1716:D1716))</f>
        <v xml:space="preserve"> </v>
      </c>
      <c r="F1716" s="14"/>
      <c r="G1716" s="120" t="e">
        <f>VLOOKUP($B1716,Information!$C$8:$F$15,4,FALSE)</f>
        <v>#N/A</v>
      </c>
      <c r="H1716" s="210" t="str">
        <f>TEXT(A1716,"ddd")</f>
        <v>Sat</v>
      </c>
    </row>
    <row r="1717" spans="1:8" x14ac:dyDescent="0.25">
      <c r="A1717" s="13"/>
      <c r="B1717" s="14"/>
      <c r="C1717" s="39"/>
      <c r="D1717" s="39"/>
      <c r="E1717" s="36" t="str">
        <f>IF(SUM(C1717:D1717)=0," ",SUM(C1717:D1717))</f>
        <v xml:space="preserve"> </v>
      </c>
      <c r="F1717" s="14"/>
      <c r="G1717" s="120" t="e">
        <f>VLOOKUP($B1717,Information!$C$8:$F$15,4,FALSE)</f>
        <v>#N/A</v>
      </c>
      <c r="H1717" s="210" t="str">
        <f>TEXT(A1717,"ddd")</f>
        <v>Sat</v>
      </c>
    </row>
    <row r="1718" spans="1:8" x14ac:dyDescent="0.25">
      <c r="A1718" s="13"/>
      <c r="B1718" s="14"/>
      <c r="C1718" s="39"/>
      <c r="D1718" s="39"/>
      <c r="E1718" s="36" t="str">
        <f>IF(SUM(C1718:D1718)=0," ",SUM(C1718:D1718))</f>
        <v xml:space="preserve"> </v>
      </c>
      <c r="F1718" s="14"/>
      <c r="G1718" s="120" t="e">
        <f>VLOOKUP($B1718,Information!$C$8:$F$15,4,FALSE)</f>
        <v>#N/A</v>
      </c>
      <c r="H1718" s="210" t="str">
        <f>TEXT(A1718,"ddd")</f>
        <v>Sat</v>
      </c>
    </row>
    <row r="1719" spans="1:8" x14ac:dyDescent="0.25">
      <c r="A1719" s="13"/>
      <c r="B1719" s="14"/>
      <c r="C1719" s="39"/>
      <c r="D1719" s="39"/>
      <c r="E1719" s="36" t="str">
        <f>IF(SUM(C1719:D1719)=0," ",SUM(C1719:D1719))</f>
        <v xml:space="preserve"> </v>
      </c>
      <c r="F1719" s="14"/>
      <c r="G1719" s="120" t="e">
        <f>VLOOKUP($B1719,Information!$C$8:$F$15,4,FALSE)</f>
        <v>#N/A</v>
      </c>
      <c r="H1719" s="210" t="str">
        <f>TEXT(A1719,"ddd")</f>
        <v>Sat</v>
      </c>
    </row>
    <row r="1720" spans="1:8" x14ac:dyDescent="0.25">
      <c r="A1720" s="13"/>
      <c r="B1720" s="14"/>
      <c r="C1720" s="39"/>
      <c r="D1720" s="39"/>
      <c r="E1720" s="36" t="str">
        <f>IF(SUM(C1720:D1720)=0," ",SUM(C1720:D1720))</f>
        <v xml:space="preserve"> </v>
      </c>
      <c r="F1720" s="14"/>
      <c r="G1720" s="120" t="e">
        <f>VLOOKUP($B1720,Information!$C$8:$F$15,4,FALSE)</f>
        <v>#N/A</v>
      </c>
      <c r="H1720" s="210" t="str">
        <f>TEXT(A1720,"ddd")</f>
        <v>Sat</v>
      </c>
    </row>
    <row r="1721" spans="1:8" x14ac:dyDescent="0.25">
      <c r="A1721" s="13"/>
      <c r="B1721" s="14"/>
      <c r="C1721" s="39"/>
      <c r="D1721" s="39"/>
      <c r="E1721" s="36" t="str">
        <f>IF(SUM(C1721:D1721)=0," ",SUM(C1721:D1721))</f>
        <v xml:space="preserve"> </v>
      </c>
      <c r="F1721" s="14"/>
      <c r="G1721" s="120" t="e">
        <f>VLOOKUP($B1721,Information!$C$8:$F$15,4,FALSE)</f>
        <v>#N/A</v>
      </c>
      <c r="H1721" s="210" t="str">
        <f>TEXT(A1721,"ddd")</f>
        <v>Sat</v>
      </c>
    </row>
    <row r="1722" spans="1:8" x14ac:dyDescent="0.25">
      <c r="A1722" s="13"/>
      <c r="B1722" s="14"/>
      <c r="C1722" s="39"/>
      <c r="D1722" s="39"/>
      <c r="E1722" s="36" t="str">
        <f>IF(SUM(C1722:D1722)=0," ",SUM(C1722:D1722))</f>
        <v xml:space="preserve"> </v>
      </c>
      <c r="F1722" s="14"/>
      <c r="G1722" s="120" t="e">
        <f>VLOOKUP($B1722,Information!$C$8:$F$15,4,FALSE)</f>
        <v>#N/A</v>
      </c>
      <c r="H1722" s="210" t="str">
        <f>TEXT(A1722,"ddd")</f>
        <v>Sat</v>
      </c>
    </row>
    <row r="1723" spans="1:8" x14ac:dyDescent="0.25">
      <c r="A1723" s="13"/>
      <c r="B1723" s="14"/>
      <c r="C1723" s="39"/>
      <c r="D1723" s="39"/>
      <c r="E1723" s="36" t="str">
        <f>IF(SUM(C1723:D1723)=0," ",SUM(C1723:D1723))</f>
        <v xml:space="preserve"> </v>
      </c>
      <c r="F1723" s="14"/>
      <c r="G1723" s="120" t="e">
        <f>VLOOKUP($B1723,Information!$C$8:$F$15,4,FALSE)</f>
        <v>#N/A</v>
      </c>
      <c r="H1723" s="210" t="str">
        <f>TEXT(A1723,"ddd")</f>
        <v>Sat</v>
      </c>
    </row>
    <row r="1724" spans="1:8" x14ac:dyDescent="0.25">
      <c r="A1724" s="13"/>
      <c r="B1724" s="14"/>
      <c r="C1724" s="39"/>
      <c r="D1724" s="39"/>
      <c r="E1724" s="36" t="str">
        <f>IF(SUM(C1724:D1724)=0," ",SUM(C1724:D1724))</f>
        <v xml:space="preserve"> </v>
      </c>
      <c r="F1724" s="14"/>
      <c r="G1724" s="120" t="e">
        <f>VLOOKUP($B1724,Information!$C$8:$F$15,4,FALSE)</f>
        <v>#N/A</v>
      </c>
      <c r="H1724" s="210" t="str">
        <f>TEXT(A1724,"ddd")</f>
        <v>Sat</v>
      </c>
    </row>
    <row r="1725" spans="1:8" x14ac:dyDescent="0.25">
      <c r="A1725" s="13"/>
      <c r="B1725" s="14"/>
      <c r="C1725" s="39"/>
      <c r="D1725" s="39"/>
      <c r="E1725" s="36" t="str">
        <f>IF(SUM(C1725:D1725)=0," ",SUM(C1725:D1725))</f>
        <v xml:space="preserve"> </v>
      </c>
      <c r="F1725" s="14"/>
      <c r="G1725" s="120" t="e">
        <f>VLOOKUP($B1725,Information!$C$8:$F$15,4,FALSE)</f>
        <v>#N/A</v>
      </c>
      <c r="H1725" s="210" t="str">
        <f>TEXT(A1725,"ddd")</f>
        <v>Sat</v>
      </c>
    </row>
    <row r="1726" spans="1:8" x14ac:dyDescent="0.25">
      <c r="A1726" s="13"/>
      <c r="B1726" s="14"/>
      <c r="C1726" s="39"/>
      <c r="D1726" s="39"/>
      <c r="E1726" s="36" t="str">
        <f>IF(SUM(C1726:D1726)=0," ",SUM(C1726:D1726))</f>
        <v xml:space="preserve"> </v>
      </c>
      <c r="F1726" s="14"/>
      <c r="G1726" s="120" t="e">
        <f>VLOOKUP($B1726,Information!$C$8:$F$15,4,FALSE)</f>
        <v>#N/A</v>
      </c>
      <c r="H1726" s="210" t="str">
        <f>TEXT(A1726,"ddd")</f>
        <v>Sat</v>
      </c>
    </row>
    <row r="1727" spans="1:8" x14ac:dyDescent="0.25">
      <c r="A1727" s="13"/>
      <c r="B1727" s="14"/>
      <c r="C1727" s="39"/>
      <c r="D1727" s="39"/>
      <c r="E1727" s="36" t="str">
        <f>IF(SUM(C1727:D1727)=0," ",SUM(C1727:D1727))</f>
        <v xml:space="preserve"> </v>
      </c>
      <c r="F1727" s="14"/>
      <c r="G1727" s="120" t="e">
        <f>VLOOKUP($B1727,Information!$C$8:$F$15,4,FALSE)</f>
        <v>#N/A</v>
      </c>
      <c r="H1727" s="210" t="str">
        <f>TEXT(A1727,"ddd")</f>
        <v>Sat</v>
      </c>
    </row>
    <row r="1728" spans="1:8" x14ac:dyDescent="0.25">
      <c r="A1728" s="13"/>
      <c r="B1728" s="14"/>
      <c r="C1728" s="39"/>
      <c r="D1728" s="39"/>
      <c r="E1728" s="36" t="str">
        <f>IF(SUM(C1728:D1728)=0," ",SUM(C1728:D1728))</f>
        <v xml:space="preserve"> </v>
      </c>
      <c r="F1728" s="14"/>
      <c r="G1728" s="120" t="e">
        <f>VLOOKUP($B1728,Information!$C$8:$F$15,4,FALSE)</f>
        <v>#N/A</v>
      </c>
      <c r="H1728" s="210" t="str">
        <f>TEXT(A1728,"ddd")</f>
        <v>Sat</v>
      </c>
    </row>
    <row r="1729" spans="1:8" x14ac:dyDescent="0.25">
      <c r="A1729" s="13"/>
      <c r="B1729" s="14"/>
      <c r="C1729" s="39"/>
      <c r="D1729" s="39"/>
      <c r="E1729" s="36" t="str">
        <f>IF(SUM(C1729:D1729)=0," ",SUM(C1729:D1729))</f>
        <v xml:space="preserve"> </v>
      </c>
      <c r="F1729" s="14"/>
      <c r="G1729" s="120" t="e">
        <f>VLOOKUP($B1729,Information!$C$8:$F$15,4,FALSE)</f>
        <v>#N/A</v>
      </c>
      <c r="H1729" s="210" t="str">
        <f>TEXT(A1729,"ddd")</f>
        <v>Sat</v>
      </c>
    </row>
    <row r="1730" spans="1:8" x14ac:dyDescent="0.25">
      <c r="A1730" s="13"/>
      <c r="B1730" s="14"/>
      <c r="C1730" s="39"/>
      <c r="D1730" s="39"/>
      <c r="E1730" s="36" t="str">
        <f>IF(SUM(C1730:D1730)=0," ",SUM(C1730:D1730))</f>
        <v xml:space="preserve"> </v>
      </c>
      <c r="F1730" s="14"/>
      <c r="G1730" s="120" t="e">
        <f>VLOOKUP($B1730,Information!$C$8:$F$15,4,FALSE)</f>
        <v>#N/A</v>
      </c>
      <c r="H1730" s="210" t="str">
        <f>TEXT(A1730,"ddd")</f>
        <v>Sat</v>
      </c>
    </row>
    <row r="1731" spans="1:8" x14ac:dyDescent="0.25">
      <c r="A1731" s="13"/>
      <c r="B1731" s="14"/>
      <c r="C1731" s="39"/>
      <c r="D1731" s="39"/>
      <c r="E1731" s="36" t="str">
        <f>IF(SUM(C1731:D1731)=0," ",SUM(C1731:D1731))</f>
        <v xml:space="preserve"> </v>
      </c>
      <c r="F1731" s="14"/>
      <c r="G1731" s="120" t="e">
        <f>VLOOKUP($B1731,Information!$C$8:$F$15,4,FALSE)</f>
        <v>#N/A</v>
      </c>
      <c r="H1731" s="210" t="str">
        <f>TEXT(A1731,"ddd")</f>
        <v>Sat</v>
      </c>
    </row>
    <row r="1732" spans="1:8" x14ac:dyDescent="0.25">
      <c r="A1732" s="13"/>
      <c r="B1732" s="14"/>
      <c r="C1732" s="39"/>
      <c r="D1732" s="39"/>
      <c r="E1732" s="36" t="str">
        <f>IF(SUM(C1732:D1732)=0," ",SUM(C1732:D1732))</f>
        <v xml:space="preserve"> </v>
      </c>
      <c r="F1732" s="14"/>
      <c r="G1732" s="120" t="e">
        <f>VLOOKUP($B1732,Information!$C$8:$F$15,4,FALSE)</f>
        <v>#N/A</v>
      </c>
      <c r="H1732" s="210" t="str">
        <f>TEXT(A1732,"ddd")</f>
        <v>Sat</v>
      </c>
    </row>
    <row r="1733" spans="1:8" x14ac:dyDescent="0.25">
      <c r="A1733" s="13"/>
      <c r="B1733" s="14"/>
      <c r="C1733" s="39"/>
      <c r="D1733" s="39"/>
      <c r="E1733" s="36" t="str">
        <f>IF(SUM(C1733:D1733)=0," ",SUM(C1733:D1733))</f>
        <v xml:space="preserve"> </v>
      </c>
      <c r="F1733" s="14"/>
      <c r="G1733" s="120" t="e">
        <f>VLOOKUP($B1733,Information!$C$8:$F$15,4,FALSE)</f>
        <v>#N/A</v>
      </c>
      <c r="H1733" s="210" t="str">
        <f>TEXT(A1733,"ddd")</f>
        <v>Sat</v>
      </c>
    </row>
    <row r="1734" spans="1:8" x14ac:dyDescent="0.25">
      <c r="A1734" s="13"/>
      <c r="B1734" s="14"/>
      <c r="C1734" s="39"/>
      <c r="D1734" s="39"/>
      <c r="E1734" s="36" t="str">
        <f>IF(SUM(C1734:D1734)=0," ",SUM(C1734:D1734))</f>
        <v xml:space="preserve"> </v>
      </c>
      <c r="F1734" s="14"/>
      <c r="G1734" s="120" t="e">
        <f>VLOOKUP($B1734,Information!$C$8:$F$15,4,FALSE)</f>
        <v>#N/A</v>
      </c>
      <c r="H1734" s="210" t="str">
        <f>TEXT(A1734,"ddd")</f>
        <v>Sat</v>
      </c>
    </row>
    <row r="1735" spans="1:8" x14ac:dyDescent="0.25">
      <c r="A1735" s="13"/>
      <c r="B1735" s="14"/>
      <c r="C1735" s="39"/>
      <c r="D1735" s="39"/>
      <c r="E1735" s="36" t="str">
        <f>IF(SUM(C1735:D1735)=0," ",SUM(C1735:D1735))</f>
        <v xml:space="preserve"> </v>
      </c>
      <c r="F1735" s="14"/>
      <c r="G1735" s="120" t="e">
        <f>VLOOKUP($B1735,Information!$C$8:$F$15,4,FALSE)</f>
        <v>#N/A</v>
      </c>
      <c r="H1735" s="210" t="str">
        <f>TEXT(A1735,"ddd")</f>
        <v>Sat</v>
      </c>
    </row>
    <row r="1736" spans="1:8" x14ac:dyDescent="0.25">
      <c r="A1736" s="13"/>
      <c r="B1736" s="14"/>
      <c r="C1736" s="39"/>
      <c r="D1736" s="39"/>
      <c r="E1736" s="36" t="str">
        <f>IF(SUM(C1736:D1736)=0," ",SUM(C1736:D1736))</f>
        <v xml:space="preserve"> </v>
      </c>
      <c r="F1736" s="14"/>
      <c r="G1736" s="120" t="e">
        <f>VLOOKUP($B1736,Information!$C$8:$F$15,4,FALSE)</f>
        <v>#N/A</v>
      </c>
      <c r="H1736" s="210" t="str">
        <f>TEXT(A1736,"ddd")</f>
        <v>Sat</v>
      </c>
    </row>
    <row r="1737" spans="1:8" x14ac:dyDescent="0.25">
      <c r="A1737" s="13"/>
      <c r="B1737" s="14"/>
      <c r="C1737" s="39"/>
      <c r="D1737" s="39"/>
      <c r="E1737" s="36" t="str">
        <f>IF(SUM(C1737:D1737)=0," ",SUM(C1737:D1737))</f>
        <v xml:space="preserve"> </v>
      </c>
      <c r="F1737" s="14"/>
      <c r="G1737" s="120" t="e">
        <f>VLOOKUP($B1737,Information!$C$8:$F$15,4,FALSE)</f>
        <v>#N/A</v>
      </c>
      <c r="H1737" s="210" t="str">
        <f>TEXT(A1737,"ddd")</f>
        <v>Sat</v>
      </c>
    </row>
    <row r="1738" spans="1:8" x14ac:dyDescent="0.25">
      <c r="A1738" s="13"/>
      <c r="B1738" s="14"/>
      <c r="C1738" s="39"/>
      <c r="D1738" s="39"/>
      <c r="E1738" s="36" t="str">
        <f>IF(SUM(C1738:D1738)=0," ",SUM(C1738:D1738))</f>
        <v xml:space="preserve"> </v>
      </c>
      <c r="F1738" s="14"/>
      <c r="G1738" s="120" t="e">
        <f>VLOOKUP($B1738,Information!$C$8:$F$15,4,FALSE)</f>
        <v>#N/A</v>
      </c>
      <c r="H1738" s="210" t="str">
        <f>TEXT(A1738,"ddd")</f>
        <v>Sat</v>
      </c>
    </row>
    <row r="1739" spans="1:8" x14ac:dyDescent="0.25">
      <c r="A1739" s="13"/>
      <c r="B1739" s="14"/>
      <c r="C1739" s="39"/>
      <c r="D1739" s="39"/>
      <c r="E1739" s="36" t="str">
        <f>IF(SUM(C1739:D1739)=0," ",SUM(C1739:D1739))</f>
        <v xml:space="preserve"> </v>
      </c>
      <c r="F1739" s="14"/>
      <c r="G1739" s="120" t="e">
        <f>VLOOKUP($B1739,Information!$C$8:$F$15,4,FALSE)</f>
        <v>#N/A</v>
      </c>
      <c r="H1739" s="210" t="str">
        <f>TEXT(A1739,"ddd")</f>
        <v>Sat</v>
      </c>
    </row>
    <row r="1740" spans="1:8" x14ac:dyDescent="0.25">
      <c r="A1740" s="13"/>
      <c r="B1740" s="14"/>
      <c r="C1740" s="39"/>
      <c r="D1740" s="39"/>
      <c r="E1740" s="36" t="str">
        <f>IF(SUM(C1740:D1740)=0," ",SUM(C1740:D1740))</f>
        <v xml:space="preserve"> </v>
      </c>
      <c r="F1740" s="14"/>
      <c r="G1740" s="120" t="e">
        <f>VLOOKUP($B1740,Information!$C$8:$F$15,4,FALSE)</f>
        <v>#N/A</v>
      </c>
      <c r="H1740" s="210" t="str">
        <f>TEXT(A1740,"ddd")</f>
        <v>Sat</v>
      </c>
    </row>
    <row r="1741" spans="1:8" x14ac:dyDescent="0.25">
      <c r="A1741" s="13"/>
      <c r="B1741" s="14"/>
      <c r="C1741" s="39"/>
      <c r="D1741" s="39"/>
      <c r="E1741" s="36" t="str">
        <f>IF(SUM(C1741:D1741)=0," ",SUM(C1741:D1741))</f>
        <v xml:space="preserve"> </v>
      </c>
      <c r="F1741" s="14"/>
      <c r="G1741" s="120" t="e">
        <f>VLOOKUP($B1741,Information!$C$8:$F$15,4,FALSE)</f>
        <v>#N/A</v>
      </c>
      <c r="H1741" s="210" t="str">
        <f>TEXT(A1741,"ddd")</f>
        <v>Sat</v>
      </c>
    </row>
    <row r="1742" spans="1:8" x14ac:dyDescent="0.25">
      <c r="A1742" s="13"/>
      <c r="B1742" s="14"/>
      <c r="C1742" s="39"/>
      <c r="D1742" s="39"/>
      <c r="E1742" s="36" t="str">
        <f>IF(SUM(C1742:D1742)=0," ",SUM(C1742:D1742))</f>
        <v xml:space="preserve"> </v>
      </c>
      <c r="F1742" s="14"/>
      <c r="G1742" s="120" t="e">
        <f>VLOOKUP($B1742,Information!$C$8:$F$15,4,FALSE)</f>
        <v>#N/A</v>
      </c>
      <c r="H1742" s="210" t="str">
        <f>TEXT(A1742,"ddd")</f>
        <v>Sat</v>
      </c>
    </row>
    <row r="1743" spans="1:8" x14ac:dyDescent="0.25">
      <c r="A1743" s="13"/>
      <c r="B1743" s="14"/>
      <c r="C1743" s="39"/>
      <c r="D1743" s="39"/>
      <c r="E1743" s="36" t="str">
        <f>IF(SUM(C1743:D1743)=0," ",SUM(C1743:D1743))</f>
        <v xml:space="preserve"> </v>
      </c>
      <c r="F1743" s="14"/>
      <c r="G1743" s="120" t="e">
        <f>VLOOKUP($B1743,Information!$C$8:$F$15,4,FALSE)</f>
        <v>#N/A</v>
      </c>
      <c r="H1743" s="210" t="str">
        <f>TEXT(A1743,"ddd")</f>
        <v>Sat</v>
      </c>
    </row>
    <row r="1744" spans="1:8" x14ac:dyDescent="0.25">
      <c r="A1744" s="13"/>
      <c r="B1744" s="14"/>
      <c r="C1744" s="39"/>
      <c r="D1744" s="39"/>
      <c r="E1744" s="36" t="str">
        <f>IF(SUM(C1744:D1744)=0," ",SUM(C1744:D1744))</f>
        <v xml:space="preserve"> </v>
      </c>
      <c r="F1744" s="14"/>
      <c r="G1744" s="120" t="e">
        <f>VLOOKUP($B1744,Information!$C$8:$F$15,4,FALSE)</f>
        <v>#N/A</v>
      </c>
      <c r="H1744" s="210" t="str">
        <f>TEXT(A1744,"ddd")</f>
        <v>Sat</v>
      </c>
    </row>
    <row r="1745" spans="1:8" x14ac:dyDescent="0.25">
      <c r="A1745" s="13"/>
      <c r="B1745" s="14"/>
      <c r="C1745" s="39"/>
      <c r="D1745" s="39"/>
      <c r="E1745" s="36" t="str">
        <f>IF(SUM(C1745:D1745)=0," ",SUM(C1745:D1745))</f>
        <v xml:space="preserve"> </v>
      </c>
      <c r="F1745" s="14"/>
      <c r="G1745" s="120" t="e">
        <f>VLOOKUP($B1745,Information!$C$8:$F$15,4,FALSE)</f>
        <v>#N/A</v>
      </c>
      <c r="H1745" s="210" t="str">
        <f>TEXT(A1745,"ddd")</f>
        <v>Sat</v>
      </c>
    </row>
    <row r="1746" spans="1:8" x14ac:dyDescent="0.25">
      <c r="A1746" s="13"/>
      <c r="B1746" s="14"/>
      <c r="C1746" s="39"/>
      <c r="D1746" s="39"/>
      <c r="E1746" s="36" t="str">
        <f>IF(SUM(C1746:D1746)=0," ",SUM(C1746:D1746))</f>
        <v xml:space="preserve"> </v>
      </c>
      <c r="F1746" s="14"/>
      <c r="G1746" s="120" t="e">
        <f>VLOOKUP($B1746,Information!$C$8:$F$15,4,FALSE)</f>
        <v>#N/A</v>
      </c>
      <c r="H1746" s="210" t="str">
        <f>TEXT(A1746,"ddd")</f>
        <v>Sat</v>
      </c>
    </row>
    <row r="1747" spans="1:8" x14ac:dyDescent="0.25">
      <c r="A1747" s="13"/>
      <c r="B1747" s="14"/>
      <c r="C1747" s="39"/>
      <c r="D1747" s="39"/>
      <c r="E1747" s="36" t="str">
        <f>IF(SUM(C1747:D1747)=0," ",SUM(C1747:D1747))</f>
        <v xml:space="preserve"> </v>
      </c>
      <c r="F1747" s="14"/>
      <c r="G1747" s="120" t="e">
        <f>VLOOKUP($B1747,Information!$C$8:$F$15,4,FALSE)</f>
        <v>#N/A</v>
      </c>
      <c r="H1747" s="210" t="str">
        <f>TEXT(A1747,"ddd")</f>
        <v>Sat</v>
      </c>
    </row>
    <row r="1748" spans="1:8" x14ac:dyDescent="0.25">
      <c r="A1748" s="13"/>
      <c r="B1748" s="14"/>
      <c r="C1748" s="39"/>
      <c r="D1748" s="39"/>
      <c r="E1748" s="36" t="str">
        <f>IF(SUM(C1748:D1748)=0," ",SUM(C1748:D1748))</f>
        <v xml:space="preserve"> </v>
      </c>
      <c r="F1748" s="14"/>
      <c r="G1748" s="120" t="e">
        <f>VLOOKUP($B1748,Information!$C$8:$F$15,4,FALSE)</f>
        <v>#N/A</v>
      </c>
      <c r="H1748" s="210" t="str">
        <f>TEXT(A1748,"ddd")</f>
        <v>Sat</v>
      </c>
    </row>
    <row r="1749" spans="1:8" x14ac:dyDescent="0.25">
      <c r="A1749" s="13"/>
      <c r="B1749" s="14"/>
      <c r="C1749" s="39"/>
      <c r="D1749" s="39"/>
      <c r="E1749" s="36" t="str">
        <f>IF(SUM(C1749:D1749)=0," ",SUM(C1749:D1749))</f>
        <v xml:space="preserve"> </v>
      </c>
      <c r="F1749" s="14"/>
      <c r="G1749" s="120" t="e">
        <f>VLOOKUP($B1749,Information!$C$8:$F$15,4,FALSE)</f>
        <v>#N/A</v>
      </c>
      <c r="H1749" s="210" t="str">
        <f>TEXT(A1749,"ddd")</f>
        <v>Sat</v>
      </c>
    </row>
    <row r="1750" spans="1:8" x14ac:dyDescent="0.25">
      <c r="A1750" s="13"/>
      <c r="B1750" s="14"/>
      <c r="C1750" s="39"/>
      <c r="D1750" s="39"/>
      <c r="E1750" s="36" t="str">
        <f>IF(SUM(C1750:D1750)=0," ",SUM(C1750:D1750))</f>
        <v xml:space="preserve"> </v>
      </c>
      <c r="F1750" s="14"/>
      <c r="G1750" s="120" t="e">
        <f>VLOOKUP($B1750,Information!$C$8:$F$15,4,FALSE)</f>
        <v>#N/A</v>
      </c>
      <c r="H1750" s="210" t="str">
        <f>TEXT(A1750,"ddd")</f>
        <v>Sat</v>
      </c>
    </row>
    <row r="1751" spans="1:8" x14ac:dyDescent="0.25">
      <c r="A1751" s="13"/>
      <c r="B1751" s="14"/>
      <c r="C1751" s="39"/>
      <c r="D1751" s="39"/>
      <c r="E1751" s="36" t="str">
        <f>IF(SUM(C1751:D1751)=0," ",SUM(C1751:D1751))</f>
        <v xml:space="preserve"> </v>
      </c>
      <c r="F1751" s="14"/>
      <c r="G1751" s="120" t="e">
        <f>VLOOKUP($B1751,Information!$C$8:$F$15,4,FALSE)</f>
        <v>#N/A</v>
      </c>
      <c r="H1751" s="210" t="str">
        <f>TEXT(A1751,"ddd")</f>
        <v>Sat</v>
      </c>
    </row>
    <row r="1752" spans="1:8" x14ac:dyDescent="0.25">
      <c r="A1752" s="13"/>
      <c r="B1752" s="14"/>
      <c r="C1752" s="39"/>
      <c r="D1752" s="39"/>
      <c r="E1752" s="36" t="str">
        <f>IF(SUM(C1752:D1752)=0," ",SUM(C1752:D1752))</f>
        <v xml:space="preserve"> </v>
      </c>
      <c r="F1752" s="14"/>
      <c r="G1752" s="120" t="e">
        <f>VLOOKUP($B1752,Information!$C$8:$F$15,4,FALSE)</f>
        <v>#N/A</v>
      </c>
      <c r="H1752" s="210" t="str">
        <f>TEXT(A1752,"ddd")</f>
        <v>Sat</v>
      </c>
    </row>
    <row r="1753" spans="1:8" x14ac:dyDescent="0.25">
      <c r="A1753" s="13"/>
      <c r="B1753" s="14"/>
      <c r="C1753" s="39"/>
      <c r="D1753" s="39"/>
      <c r="E1753" s="36" t="str">
        <f>IF(SUM(C1753:D1753)=0," ",SUM(C1753:D1753))</f>
        <v xml:space="preserve"> </v>
      </c>
      <c r="F1753" s="14"/>
      <c r="G1753" s="120" t="e">
        <f>VLOOKUP($B1753,Information!$C$8:$F$15,4,FALSE)</f>
        <v>#N/A</v>
      </c>
      <c r="H1753" s="210" t="str">
        <f>TEXT(A1753,"ddd")</f>
        <v>Sat</v>
      </c>
    </row>
    <row r="1754" spans="1:8" x14ac:dyDescent="0.25">
      <c r="A1754" s="13"/>
      <c r="B1754" s="14"/>
      <c r="C1754" s="39"/>
      <c r="D1754" s="39"/>
      <c r="E1754" s="36" t="str">
        <f>IF(SUM(C1754:D1754)=0," ",SUM(C1754:D1754))</f>
        <v xml:space="preserve"> </v>
      </c>
      <c r="F1754" s="14"/>
      <c r="G1754" s="120" t="e">
        <f>VLOOKUP($B1754,Information!$C$8:$F$15,4,FALSE)</f>
        <v>#N/A</v>
      </c>
      <c r="H1754" s="210" t="str">
        <f>TEXT(A1754,"ddd")</f>
        <v>Sat</v>
      </c>
    </row>
    <row r="1755" spans="1:8" x14ac:dyDescent="0.25">
      <c r="A1755" s="13"/>
      <c r="B1755" s="14"/>
      <c r="C1755" s="39"/>
      <c r="D1755" s="39"/>
      <c r="E1755" s="36" t="str">
        <f>IF(SUM(C1755:D1755)=0," ",SUM(C1755:D1755))</f>
        <v xml:space="preserve"> </v>
      </c>
      <c r="F1755" s="14"/>
      <c r="G1755" s="120" t="e">
        <f>VLOOKUP($B1755,Information!$C$8:$F$15,4,FALSE)</f>
        <v>#N/A</v>
      </c>
      <c r="H1755" s="210" t="str">
        <f>TEXT(A1755,"ddd")</f>
        <v>Sat</v>
      </c>
    </row>
    <row r="1756" spans="1:8" x14ac:dyDescent="0.25">
      <c r="A1756" s="13"/>
      <c r="B1756" s="14"/>
      <c r="C1756" s="39"/>
      <c r="D1756" s="39"/>
      <c r="E1756" s="36" t="str">
        <f>IF(SUM(C1756:D1756)=0," ",SUM(C1756:D1756))</f>
        <v xml:space="preserve"> </v>
      </c>
      <c r="F1756" s="14"/>
      <c r="G1756" s="120" t="e">
        <f>VLOOKUP($B1756,Information!$C$8:$F$15,4,FALSE)</f>
        <v>#N/A</v>
      </c>
      <c r="H1756" s="210" t="str">
        <f>TEXT(A1756,"ddd")</f>
        <v>Sat</v>
      </c>
    </row>
    <row r="1757" spans="1:8" x14ac:dyDescent="0.25">
      <c r="A1757" s="13"/>
      <c r="B1757" s="14"/>
      <c r="C1757" s="39"/>
      <c r="D1757" s="39"/>
      <c r="E1757" s="36" t="str">
        <f>IF(SUM(C1757:D1757)=0," ",SUM(C1757:D1757))</f>
        <v xml:space="preserve"> </v>
      </c>
      <c r="F1757" s="14"/>
      <c r="G1757" s="120" t="e">
        <f>VLOOKUP($B1757,Information!$C$8:$F$15,4,FALSE)</f>
        <v>#N/A</v>
      </c>
      <c r="H1757" s="210" t="str">
        <f>TEXT(A1757,"ddd")</f>
        <v>Sat</v>
      </c>
    </row>
    <row r="1758" spans="1:8" x14ac:dyDescent="0.25">
      <c r="A1758" s="13"/>
      <c r="B1758" s="14"/>
      <c r="C1758" s="39"/>
      <c r="D1758" s="39"/>
      <c r="E1758" s="36" t="str">
        <f>IF(SUM(C1758:D1758)=0," ",SUM(C1758:D1758))</f>
        <v xml:space="preserve"> </v>
      </c>
      <c r="F1758" s="14"/>
      <c r="G1758" s="120" t="e">
        <f>VLOOKUP($B1758,Information!$C$8:$F$15,4,FALSE)</f>
        <v>#N/A</v>
      </c>
      <c r="H1758" s="210" t="str">
        <f>TEXT(A1758,"ddd")</f>
        <v>Sat</v>
      </c>
    </row>
    <row r="1759" spans="1:8" x14ac:dyDescent="0.25">
      <c r="A1759" s="13"/>
      <c r="B1759" s="14"/>
      <c r="C1759" s="39"/>
      <c r="D1759" s="39"/>
      <c r="E1759" s="36" t="str">
        <f>IF(SUM(C1759:D1759)=0," ",SUM(C1759:D1759))</f>
        <v xml:space="preserve"> </v>
      </c>
      <c r="F1759" s="14"/>
      <c r="G1759" s="120" t="e">
        <f>VLOOKUP($B1759,Information!$C$8:$F$15,4,FALSE)</f>
        <v>#N/A</v>
      </c>
      <c r="H1759" s="210" t="str">
        <f>TEXT(A1759,"ddd")</f>
        <v>Sat</v>
      </c>
    </row>
    <row r="1760" spans="1:8" x14ac:dyDescent="0.25">
      <c r="A1760" s="13"/>
      <c r="B1760" s="14"/>
      <c r="C1760" s="39"/>
      <c r="D1760" s="39"/>
      <c r="E1760" s="36" t="str">
        <f>IF(SUM(C1760:D1760)=0," ",SUM(C1760:D1760))</f>
        <v xml:space="preserve"> </v>
      </c>
      <c r="F1760" s="14"/>
      <c r="G1760" s="120" t="e">
        <f>VLOOKUP($B1760,Information!$C$8:$F$15,4,FALSE)</f>
        <v>#N/A</v>
      </c>
      <c r="H1760" s="210" t="str">
        <f>TEXT(A1760,"ddd")</f>
        <v>Sat</v>
      </c>
    </row>
    <row r="1761" spans="1:8" x14ac:dyDescent="0.25">
      <c r="A1761" s="13"/>
      <c r="B1761" s="14"/>
      <c r="C1761" s="39"/>
      <c r="D1761" s="39"/>
      <c r="E1761" s="36" t="str">
        <f>IF(SUM(C1761:D1761)=0," ",SUM(C1761:D1761))</f>
        <v xml:space="preserve"> </v>
      </c>
      <c r="F1761" s="14"/>
      <c r="G1761" s="120" t="e">
        <f>VLOOKUP($B1761,Information!$C$8:$F$15,4,FALSE)</f>
        <v>#N/A</v>
      </c>
      <c r="H1761" s="210" t="str">
        <f>TEXT(A1761,"ddd")</f>
        <v>Sat</v>
      </c>
    </row>
    <row r="1762" spans="1:8" x14ac:dyDescent="0.25">
      <c r="A1762" s="13"/>
      <c r="B1762" s="14"/>
      <c r="C1762" s="39"/>
      <c r="D1762" s="39"/>
      <c r="E1762" s="36" t="str">
        <f>IF(SUM(C1762:D1762)=0," ",SUM(C1762:D1762))</f>
        <v xml:space="preserve"> </v>
      </c>
      <c r="F1762" s="14"/>
      <c r="G1762" s="120" t="e">
        <f>VLOOKUP($B1762,Information!$C$8:$F$15,4,FALSE)</f>
        <v>#N/A</v>
      </c>
      <c r="H1762" s="210" t="str">
        <f>TEXT(A1762,"ddd")</f>
        <v>Sat</v>
      </c>
    </row>
    <row r="1763" spans="1:8" x14ac:dyDescent="0.25">
      <c r="A1763" s="13"/>
      <c r="B1763" s="14"/>
      <c r="C1763" s="39"/>
      <c r="D1763" s="39"/>
      <c r="E1763" s="36" t="str">
        <f>IF(SUM(C1763:D1763)=0," ",SUM(C1763:D1763))</f>
        <v xml:space="preserve"> </v>
      </c>
      <c r="F1763" s="14"/>
      <c r="G1763" s="120" t="e">
        <f>VLOOKUP($B1763,Information!$C$8:$F$15,4,FALSE)</f>
        <v>#N/A</v>
      </c>
      <c r="H1763" s="210" t="str">
        <f>TEXT(A1763,"ddd")</f>
        <v>Sat</v>
      </c>
    </row>
    <row r="1764" spans="1:8" x14ac:dyDescent="0.25">
      <c r="A1764" s="13"/>
      <c r="B1764" s="14"/>
      <c r="C1764" s="39"/>
      <c r="D1764" s="39"/>
      <c r="E1764" s="36" t="str">
        <f>IF(SUM(C1764:D1764)=0," ",SUM(C1764:D1764))</f>
        <v xml:space="preserve"> </v>
      </c>
      <c r="F1764" s="14"/>
      <c r="G1764" s="120" t="e">
        <f>VLOOKUP($B1764,Information!$C$8:$F$15,4,FALSE)</f>
        <v>#N/A</v>
      </c>
      <c r="H1764" s="210" t="str">
        <f>TEXT(A1764,"ddd")</f>
        <v>Sat</v>
      </c>
    </row>
    <row r="1765" spans="1:8" x14ac:dyDescent="0.25">
      <c r="A1765" s="13"/>
      <c r="B1765" s="14"/>
      <c r="C1765" s="39"/>
      <c r="D1765" s="39"/>
      <c r="E1765" s="36" t="str">
        <f>IF(SUM(C1765:D1765)=0," ",SUM(C1765:D1765))</f>
        <v xml:space="preserve"> </v>
      </c>
      <c r="F1765" s="14"/>
      <c r="G1765" s="120" t="e">
        <f>VLOOKUP($B1765,Information!$C$8:$F$15,4,FALSE)</f>
        <v>#N/A</v>
      </c>
      <c r="H1765" s="210" t="str">
        <f>TEXT(A1765,"ddd")</f>
        <v>Sat</v>
      </c>
    </row>
    <row r="1766" spans="1:8" x14ac:dyDescent="0.25">
      <c r="A1766" s="13"/>
      <c r="B1766" s="14"/>
      <c r="C1766" s="39"/>
      <c r="D1766" s="39"/>
      <c r="E1766" s="36" t="str">
        <f>IF(SUM(C1766:D1766)=0," ",SUM(C1766:D1766))</f>
        <v xml:space="preserve"> </v>
      </c>
      <c r="F1766" s="14"/>
      <c r="G1766" s="120" t="e">
        <f>VLOOKUP($B1766,Information!$C$8:$F$15,4,FALSE)</f>
        <v>#N/A</v>
      </c>
      <c r="H1766" s="210" t="str">
        <f>TEXT(A1766,"ddd")</f>
        <v>Sat</v>
      </c>
    </row>
    <row r="1767" spans="1:8" x14ac:dyDescent="0.25">
      <c r="A1767" s="13"/>
      <c r="B1767" s="14"/>
      <c r="C1767" s="39"/>
      <c r="D1767" s="39"/>
      <c r="E1767" s="36" t="str">
        <f>IF(SUM(C1767:D1767)=0," ",SUM(C1767:D1767))</f>
        <v xml:space="preserve"> </v>
      </c>
      <c r="F1767" s="14"/>
      <c r="G1767" s="120" t="e">
        <f>VLOOKUP($B1767,Information!$C$8:$F$15,4,FALSE)</f>
        <v>#N/A</v>
      </c>
      <c r="H1767" s="210" t="str">
        <f>TEXT(A1767,"ddd")</f>
        <v>Sat</v>
      </c>
    </row>
    <row r="1768" spans="1:8" x14ac:dyDescent="0.25">
      <c r="A1768" s="13"/>
      <c r="B1768" s="14"/>
      <c r="C1768" s="39"/>
      <c r="D1768" s="39"/>
      <c r="E1768" s="36" t="str">
        <f>IF(SUM(C1768:D1768)=0," ",SUM(C1768:D1768))</f>
        <v xml:space="preserve"> </v>
      </c>
      <c r="F1768" s="14"/>
      <c r="G1768" s="120" t="e">
        <f>VLOOKUP($B1768,Information!$C$8:$F$15,4,FALSE)</f>
        <v>#N/A</v>
      </c>
      <c r="H1768" s="210" t="str">
        <f>TEXT(A1768,"ddd")</f>
        <v>Sat</v>
      </c>
    </row>
    <row r="1769" spans="1:8" x14ac:dyDescent="0.25">
      <c r="A1769" s="13"/>
      <c r="B1769" s="14"/>
      <c r="C1769" s="39"/>
      <c r="D1769" s="39"/>
      <c r="E1769" s="36" t="str">
        <f>IF(SUM(C1769:D1769)=0," ",SUM(C1769:D1769))</f>
        <v xml:space="preserve"> </v>
      </c>
      <c r="F1769" s="14"/>
      <c r="G1769" s="120" t="e">
        <f>VLOOKUP($B1769,Information!$C$8:$F$15,4,FALSE)</f>
        <v>#N/A</v>
      </c>
      <c r="H1769" s="210" t="str">
        <f>TEXT(A1769,"ddd")</f>
        <v>Sat</v>
      </c>
    </row>
    <row r="1770" spans="1:8" x14ac:dyDescent="0.25">
      <c r="A1770" s="13"/>
      <c r="B1770" s="14"/>
      <c r="C1770" s="39"/>
      <c r="D1770" s="39"/>
      <c r="E1770" s="36" t="str">
        <f>IF(SUM(C1770:D1770)=0," ",SUM(C1770:D1770))</f>
        <v xml:space="preserve"> </v>
      </c>
      <c r="F1770" s="14"/>
      <c r="G1770" s="120" t="e">
        <f>VLOOKUP($B1770,Information!$C$8:$F$15,4,FALSE)</f>
        <v>#N/A</v>
      </c>
      <c r="H1770" s="210" t="str">
        <f>TEXT(A1770,"ddd")</f>
        <v>Sat</v>
      </c>
    </row>
    <row r="1771" spans="1:8" x14ac:dyDescent="0.25">
      <c r="A1771" s="13"/>
      <c r="B1771" s="14"/>
      <c r="C1771" s="39"/>
      <c r="D1771" s="39"/>
      <c r="E1771" s="36" t="str">
        <f>IF(SUM(C1771:D1771)=0," ",SUM(C1771:D1771))</f>
        <v xml:space="preserve"> </v>
      </c>
      <c r="F1771" s="14"/>
      <c r="G1771" s="120" t="e">
        <f>VLOOKUP($B1771,Information!$C$8:$F$15,4,FALSE)</f>
        <v>#N/A</v>
      </c>
      <c r="H1771" s="210" t="str">
        <f>TEXT(A1771,"ddd")</f>
        <v>Sat</v>
      </c>
    </row>
    <row r="1772" spans="1:8" x14ac:dyDescent="0.25">
      <c r="A1772" s="13"/>
      <c r="B1772" s="14"/>
      <c r="C1772" s="39"/>
      <c r="D1772" s="39"/>
      <c r="E1772" s="36" t="str">
        <f>IF(SUM(C1772:D1772)=0," ",SUM(C1772:D1772))</f>
        <v xml:space="preserve"> </v>
      </c>
      <c r="F1772" s="14"/>
      <c r="G1772" s="120" t="e">
        <f>VLOOKUP($B1772,Information!$C$8:$F$15,4,FALSE)</f>
        <v>#N/A</v>
      </c>
      <c r="H1772" s="210" t="str">
        <f>TEXT(A1772,"ddd")</f>
        <v>Sat</v>
      </c>
    </row>
    <row r="1773" spans="1:8" x14ac:dyDescent="0.25">
      <c r="A1773" s="13"/>
      <c r="B1773" s="14"/>
      <c r="C1773" s="39"/>
      <c r="D1773" s="39"/>
      <c r="E1773" s="36" t="str">
        <f>IF(SUM(C1773:D1773)=0," ",SUM(C1773:D1773))</f>
        <v xml:space="preserve"> </v>
      </c>
      <c r="F1773" s="14"/>
      <c r="G1773" s="120" t="e">
        <f>VLOOKUP($B1773,Information!$C$8:$F$15,4,FALSE)</f>
        <v>#N/A</v>
      </c>
      <c r="H1773" s="210" t="str">
        <f>TEXT(A1773,"ddd")</f>
        <v>Sat</v>
      </c>
    </row>
    <row r="1774" spans="1:8" x14ac:dyDescent="0.25">
      <c r="A1774" s="13"/>
      <c r="B1774" s="14"/>
      <c r="C1774" s="39"/>
      <c r="D1774" s="39"/>
      <c r="E1774" s="36" t="str">
        <f>IF(SUM(C1774:D1774)=0," ",SUM(C1774:D1774))</f>
        <v xml:space="preserve"> </v>
      </c>
      <c r="F1774" s="14"/>
      <c r="G1774" s="120" t="e">
        <f>VLOOKUP($B1774,Information!$C$8:$F$15,4,FALSE)</f>
        <v>#N/A</v>
      </c>
      <c r="H1774" s="210" t="str">
        <f>TEXT(A1774,"ddd")</f>
        <v>Sat</v>
      </c>
    </row>
    <row r="1775" spans="1:8" x14ac:dyDescent="0.25">
      <c r="A1775" s="13"/>
      <c r="B1775" s="14"/>
      <c r="C1775" s="39"/>
      <c r="D1775" s="39"/>
      <c r="E1775" s="36" t="str">
        <f>IF(SUM(C1775:D1775)=0," ",SUM(C1775:D1775))</f>
        <v xml:space="preserve"> </v>
      </c>
      <c r="F1775" s="14"/>
      <c r="G1775" s="120" t="e">
        <f>VLOOKUP($B1775,Information!$C$8:$F$15,4,FALSE)</f>
        <v>#N/A</v>
      </c>
      <c r="H1775" s="210" t="str">
        <f>TEXT(A1775,"ddd")</f>
        <v>Sat</v>
      </c>
    </row>
    <row r="1776" spans="1:8" x14ac:dyDescent="0.25">
      <c r="A1776" s="13"/>
      <c r="B1776" s="14"/>
      <c r="C1776" s="39"/>
      <c r="D1776" s="39"/>
      <c r="E1776" s="36" t="str">
        <f>IF(SUM(C1776:D1776)=0," ",SUM(C1776:D1776))</f>
        <v xml:space="preserve"> </v>
      </c>
      <c r="F1776" s="14"/>
      <c r="G1776" s="120" t="e">
        <f>VLOOKUP($B1776,Information!$C$8:$F$15,4,FALSE)</f>
        <v>#N/A</v>
      </c>
      <c r="H1776" s="210" t="str">
        <f>TEXT(A1776,"ddd")</f>
        <v>Sat</v>
      </c>
    </row>
    <row r="1777" spans="1:8" x14ac:dyDescent="0.25">
      <c r="A1777" s="13"/>
      <c r="B1777" s="14"/>
      <c r="C1777" s="39"/>
      <c r="D1777" s="39"/>
      <c r="E1777" s="36" t="str">
        <f>IF(SUM(C1777:D1777)=0," ",SUM(C1777:D1777))</f>
        <v xml:space="preserve"> </v>
      </c>
      <c r="F1777" s="14"/>
      <c r="G1777" s="120" t="e">
        <f>VLOOKUP($B1777,Information!$C$8:$F$15,4,FALSE)</f>
        <v>#N/A</v>
      </c>
      <c r="H1777" s="210" t="str">
        <f>TEXT(A1777,"ddd")</f>
        <v>Sat</v>
      </c>
    </row>
    <row r="1778" spans="1:8" x14ac:dyDescent="0.25">
      <c r="A1778" s="13"/>
      <c r="B1778" s="14"/>
      <c r="C1778" s="39"/>
      <c r="D1778" s="39"/>
      <c r="E1778" s="36" t="str">
        <f>IF(SUM(C1778:D1778)=0," ",SUM(C1778:D1778))</f>
        <v xml:space="preserve"> </v>
      </c>
      <c r="F1778" s="14"/>
      <c r="G1778" s="120" t="e">
        <f>VLOOKUP($B1778,Information!$C$8:$F$15,4,FALSE)</f>
        <v>#N/A</v>
      </c>
      <c r="H1778" s="210" t="str">
        <f>TEXT(A1778,"ddd")</f>
        <v>Sat</v>
      </c>
    </row>
    <row r="1779" spans="1:8" x14ac:dyDescent="0.25">
      <c r="A1779" s="13"/>
      <c r="B1779" s="14"/>
      <c r="C1779" s="39"/>
      <c r="D1779" s="39"/>
      <c r="E1779" s="36" t="str">
        <f>IF(SUM(C1779:D1779)=0," ",SUM(C1779:D1779))</f>
        <v xml:space="preserve"> </v>
      </c>
      <c r="F1779" s="14"/>
      <c r="G1779" s="120" t="e">
        <f>VLOOKUP($B1779,Information!$C$8:$F$15,4,FALSE)</f>
        <v>#N/A</v>
      </c>
      <c r="H1779" s="210" t="str">
        <f>TEXT(A1779,"ddd")</f>
        <v>Sat</v>
      </c>
    </row>
    <row r="1780" spans="1:8" x14ac:dyDescent="0.25">
      <c r="A1780" s="13"/>
      <c r="B1780" s="14"/>
      <c r="C1780" s="39"/>
      <c r="D1780" s="39"/>
      <c r="E1780" s="36" t="str">
        <f>IF(SUM(C1780:D1780)=0," ",SUM(C1780:D1780))</f>
        <v xml:space="preserve"> </v>
      </c>
      <c r="F1780" s="14"/>
      <c r="G1780" s="120" t="e">
        <f>VLOOKUP($B1780,Information!$C$8:$F$15,4,FALSE)</f>
        <v>#N/A</v>
      </c>
      <c r="H1780" s="210" t="str">
        <f>TEXT(A1780,"ddd")</f>
        <v>Sat</v>
      </c>
    </row>
    <row r="1781" spans="1:8" x14ac:dyDescent="0.25">
      <c r="A1781" s="13"/>
      <c r="B1781" s="14"/>
      <c r="C1781" s="39"/>
      <c r="D1781" s="39"/>
      <c r="E1781" s="36" t="str">
        <f>IF(SUM(C1781:D1781)=0," ",SUM(C1781:D1781))</f>
        <v xml:space="preserve"> </v>
      </c>
      <c r="F1781" s="14"/>
      <c r="G1781" s="120" t="e">
        <f>VLOOKUP($B1781,Information!$C$8:$F$15,4,FALSE)</f>
        <v>#N/A</v>
      </c>
      <c r="H1781" s="210" t="str">
        <f>TEXT(A1781,"ddd")</f>
        <v>Sat</v>
      </c>
    </row>
    <row r="1782" spans="1:8" x14ac:dyDescent="0.25">
      <c r="A1782" s="13"/>
      <c r="B1782" s="14"/>
      <c r="C1782" s="39"/>
      <c r="D1782" s="39"/>
      <c r="E1782" s="36" t="str">
        <f>IF(SUM(C1782:D1782)=0," ",SUM(C1782:D1782))</f>
        <v xml:space="preserve"> </v>
      </c>
      <c r="F1782" s="14"/>
      <c r="G1782" s="120" t="e">
        <f>VLOOKUP($B1782,Information!$C$8:$F$15,4,FALSE)</f>
        <v>#N/A</v>
      </c>
      <c r="H1782" s="210" t="str">
        <f>TEXT(A1782,"ddd")</f>
        <v>Sat</v>
      </c>
    </row>
    <row r="1783" spans="1:8" x14ac:dyDescent="0.25">
      <c r="A1783" s="13"/>
      <c r="B1783" s="14"/>
      <c r="C1783" s="39"/>
      <c r="D1783" s="39"/>
      <c r="E1783" s="36" t="str">
        <f>IF(SUM(C1783:D1783)=0," ",SUM(C1783:D1783))</f>
        <v xml:space="preserve"> </v>
      </c>
      <c r="F1783" s="14"/>
      <c r="G1783" s="120" t="e">
        <f>VLOOKUP($B1783,Information!$C$8:$F$15,4,FALSE)</f>
        <v>#N/A</v>
      </c>
      <c r="H1783" s="210" t="str">
        <f>TEXT(A1783,"ddd")</f>
        <v>Sat</v>
      </c>
    </row>
    <row r="1784" spans="1:8" x14ac:dyDescent="0.25">
      <c r="A1784" s="13"/>
      <c r="B1784" s="14"/>
      <c r="C1784" s="39"/>
      <c r="D1784" s="39"/>
      <c r="E1784" s="36" t="str">
        <f>IF(SUM(C1784:D1784)=0," ",SUM(C1784:D1784))</f>
        <v xml:space="preserve"> </v>
      </c>
      <c r="F1784" s="14"/>
      <c r="G1784" s="120" t="e">
        <f>VLOOKUP($B1784,Information!$C$8:$F$15,4,FALSE)</f>
        <v>#N/A</v>
      </c>
      <c r="H1784" s="210" t="str">
        <f>TEXT(A1784,"ddd")</f>
        <v>Sat</v>
      </c>
    </row>
    <row r="1785" spans="1:8" x14ac:dyDescent="0.25">
      <c r="A1785" s="13"/>
      <c r="B1785" s="14"/>
      <c r="C1785" s="39"/>
      <c r="D1785" s="39"/>
      <c r="E1785" s="36" t="str">
        <f>IF(SUM(C1785:D1785)=0," ",SUM(C1785:D1785))</f>
        <v xml:space="preserve"> </v>
      </c>
      <c r="F1785" s="14"/>
      <c r="G1785" s="120" t="e">
        <f>VLOOKUP($B1785,Information!$C$8:$F$15,4,FALSE)</f>
        <v>#N/A</v>
      </c>
      <c r="H1785" s="210" t="str">
        <f>TEXT(A1785,"ddd")</f>
        <v>Sat</v>
      </c>
    </row>
    <row r="1786" spans="1:8" x14ac:dyDescent="0.25">
      <c r="A1786" s="13"/>
      <c r="B1786" s="14"/>
      <c r="C1786" s="39"/>
      <c r="D1786" s="39"/>
      <c r="E1786" s="36" t="str">
        <f>IF(SUM(C1786:D1786)=0," ",SUM(C1786:D1786))</f>
        <v xml:space="preserve"> </v>
      </c>
      <c r="F1786" s="14"/>
      <c r="G1786" s="120" t="e">
        <f>VLOOKUP($B1786,Information!$C$8:$F$15,4,FALSE)</f>
        <v>#N/A</v>
      </c>
      <c r="H1786" s="210" t="str">
        <f>TEXT(A1786,"ddd")</f>
        <v>Sat</v>
      </c>
    </row>
    <row r="1787" spans="1:8" x14ac:dyDescent="0.25">
      <c r="A1787" s="13"/>
      <c r="B1787" s="14"/>
      <c r="C1787" s="39"/>
      <c r="D1787" s="39"/>
      <c r="E1787" s="36" t="str">
        <f>IF(SUM(C1787:D1787)=0," ",SUM(C1787:D1787))</f>
        <v xml:space="preserve"> </v>
      </c>
      <c r="F1787" s="14"/>
      <c r="G1787" s="120" t="e">
        <f>VLOOKUP($B1787,Information!$C$8:$F$15,4,FALSE)</f>
        <v>#N/A</v>
      </c>
      <c r="H1787" s="210" t="str">
        <f>TEXT(A1787,"ddd")</f>
        <v>Sat</v>
      </c>
    </row>
    <row r="1788" spans="1:8" x14ac:dyDescent="0.25">
      <c r="A1788" s="13"/>
      <c r="B1788" s="14"/>
      <c r="C1788" s="39"/>
      <c r="D1788" s="39"/>
      <c r="E1788" s="36" t="str">
        <f>IF(SUM(C1788:D1788)=0," ",SUM(C1788:D1788))</f>
        <v xml:space="preserve"> </v>
      </c>
      <c r="F1788" s="14"/>
      <c r="G1788" s="120" t="e">
        <f>VLOOKUP($B1788,Information!$C$8:$F$15,4,FALSE)</f>
        <v>#N/A</v>
      </c>
      <c r="H1788" s="210" t="str">
        <f>TEXT(A1788,"ddd")</f>
        <v>Sat</v>
      </c>
    </row>
    <row r="1789" spans="1:8" x14ac:dyDescent="0.25">
      <c r="A1789" s="13"/>
      <c r="B1789" s="14"/>
      <c r="C1789" s="39"/>
      <c r="D1789" s="39"/>
      <c r="E1789" s="36" t="str">
        <f>IF(SUM(C1789:D1789)=0," ",SUM(C1789:D1789))</f>
        <v xml:space="preserve"> </v>
      </c>
      <c r="F1789" s="14"/>
      <c r="G1789" s="120" t="e">
        <f>VLOOKUP($B1789,Information!$C$8:$F$15,4,FALSE)</f>
        <v>#N/A</v>
      </c>
      <c r="H1789" s="210" t="str">
        <f>TEXT(A1789,"ddd")</f>
        <v>Sat</v>
      </c>
    </row>
    <row r="1790" spans="1:8" x14ac:dyDescent="0.25">
      <c r="A1790" s="13"/>
      <c r="B1790" s="14"/>
      <c r="C1790" s="39"/>
      <c r="D1790" s="39"/>
      <c r="E1790" s="36" t="str">
        <f>IF(SUM(C1790:D1790)=0," ",SUM(C1790:D1790))</f>
        <v xml:space="preserve"> </v>
      </c>
      <c r="F1790" s="14"/>
      <c r="G1790" s="120" t="e">
        <f>VLOOKUP($B1790,Information!$C$8:$F$15,4,FALSE)</f>
        <v>#N/A</v>
      </c>
      <c r="H1790" s="210" t="str">
        <f>TEXT(A1790,"ddd")</f>
        <v>Sat</v>
      </c>
    </row>
    <row r="1791" spans="1:8" x14ac:dyDescent="0.25">
      <c r="A1791" s="13"/>
      <c r="B1791" s="14"/>
      <c r="C1791" s="39"/>
      <c r="D1791" s="39"/>
      <c r="E1791" s="36" t="str">
        <f>IF(SUM(C1791:D1791)=0," ",SUM(C1791:D1791))</f>
        <v xml:space="preserve"> </v>
      </c>
      <c r="F1791" s="14"/>
      <c r="G1791" s="120" t="e">
        <f>VLOOKUP($B1791,Information!$C$8:$F$15,4,FALSE)</f>
        <v>#N/A</v>
      </c>
      <c r="H1791" s="210" t="str">
        <f>TEXT(A1791,"ddd")</f>
        <v>Sat</v>
      </c>
    </row>
    <row r="1792" spans="1:8" x14ac:dyDescent="0.25">
      <c r="A1792" s="13"/>
      <c r="B1792" s="14"/>
      <c r="C1792" s="39"/>
      <c r="D1792" s="39"/>
      <c r="E1792" s="36" t="str">
        <f>IF(SUM(C1792:D1792)=0," ",SUM(C1792:D1792))</f>
        <v xml:space="preserve"> </v>
      </c>
      <c r="F1792" s="14"/>
      <c r="G1792" s="120" t="e">
        <f>VLOOKUP($B1792,Information!$C$8:$F$15,4,FALSE)</f>
        <v>#N/A</v>
      </c>
      <c r="H1792" s="210" t="str">
        <f>TEXT(A1792,"ddd")</f>
        <v>Sat</v>
      </c>
    </row>
    <row r="1793" spans="1:8" x14ac:dyDescent="0.25">
      <c r="A1793" s="13"/>
      <c r="B1793" s="14"/>
      <c r="C1793" s="39"/>
      <c r="D1793" s="39"/>
      <c r="E1793" s="36" t="str">
        <f>IF(SUM(C1793:D1793)=0," ",SUM(C1793:D1793))</f>
        <v xml:space="preserve"> </v>
      </c>
      <c r="F1793" s="14"/>
      <c r="G1793" s="120" t="e">
        <f>VLOOKUP($B1793,Information!$C$8:$F$15,4,FALSE)</f>
        <v>#N/A</v>
      </c>
      <c r="H1793" s="210" t="str">
        <f>TEXT(A1793,"ddd")</f>
        <v>Sat</v>
      </c>
    </row>
    <row r="1794" spans="1:8" x14ac:dyDescent="0.25">
      <c r="A1794" s="13"/>
      <c r="B1794" s="14"/>
      <c r="C1794" s="39"/>
      <c r="D1794" s="39"/>
      <c r="E1794" s="36" t="str">
        <f>IF(SUM(C1794:D1794)=0," ",SUM(C1794:D1794))</f>
        <v xml:space="preserve"> </v>
      </c>
      <c r="F1794" s="14"/>
      <c r="G1794" s="120" t="e">
        <f>VLOOKUP($B1794,Information!$C$8:$F$15,4,FALSE)</f>
        <v>#N/A</v>
      </c>
      <c r="H1794" s="210" t="str">
        <f>TEXT(A1794,"ddd")</f>
        <v>Sat</v>
      </c>
    </row>
    <row r="1795" spans="1:8" x14ac:dyDescent="0.25">
      <c r="A1795" s="13"/>
      <c r="B1795" s="14"/>
      <c r="C1795" s="39"/>
      <c r="D1795" s="39"/>
      <c r="E1795" s="36" t="str">
        <f>IF(SUM(C1795:D1795)=0," ",SUM(C1795:D1795))</f>
        <v xml:space="preserve"> </v>
      </c>
      <c r="F1795" s="14"/>
      <c r="G1795" s="120" t="e">
        <f>VLOOKUP($B1795,Information!$C$8:$F$15,4,FALSE)</f>
        <v>#N/A</v>
      </c>
      <c r="H1795" s="210" t="str">
        <f>TEXT(A1795,"ddd")</f>
        <v>Sat</v>
      </c>
    </row>
    <row r="1796" spans="1:8" x14ac:dyDescent="0.25">
      <c r="A1796" s="13"/>
      <c r="B1796" s="14"/>
      <c r="C1796" s="39"/>
      <c r="D1796" s="39"/>
      <c r="E1796" s="36" t="str">
        <f>IF(SUM(C1796:D1796)=0," ",SUM(C1796:D1796))</f>
        <v xml:space="preserve"> </v>
      </c>
      <c r="F1796" s="14"/>
      <c r="G1796" s="120" t="e">
        <f>VLOOKUP($B1796,Information!$C$8:$F$15,4,FALSE)</f>
        <v>#N/A</v>
      </c>
      <c r="H1796" s="210" t="str">
        <f>TEXT(A1796,"ddd")</f>
        <v>Sat</v>
      </c>
    </row>
    <row r="1797" spans="1:8" x14ac:dyDescent="0.25">
      <c r="A1797" s="13"/>
      <c r="B1797" s="14"/>
      <c r="C1797" s="39"/>
      <c r="D1797" s="39"/>
      <c r="E1797" s="36" t="str">
        <f>IF(SUM(C1797:D1797)=0," ",SUM(C1797:D1797))</f>
        <v xml:space="preserve"> </v>
      </c>
      <c r="F1797" s="14"/>
      <c r="G1797" s="120" t="e">
        <f>VLOOKUP($B1797,Information!$C$8:$F$15,4,FALSE)</f>
        <v>#N/A</v>
      </c>
      <c r="H1797" s="210" t="str">
        <f>TEXT(A1797,"ddd")</f>
        <v>Sat</v>
      </c>
    </row>
    <row r="1798" spans="1:8" x14ac:dyDescent="0.25">
      <c r="A1798" s="13"/>
      <c r="B1798" s="14"/>
      <c r="C1798" s="39"/>
      <c r="D1798" s="39"/>
      <c r="E1798" s="36" t="str">
        <f>IF(SUM(C1798:D1798)=0," ",SUM(C1798:D1798))</f>
        <v xml:space="preserve"> </v>
      </c>
      <c r="F1798" s="14"/>
      <c r="G1798" s="120" t="e">
        <f>VLOOKUP($B1798,Information!$C$8:$F$15,4,FALSE)</f>
        <v>#N/A</v>
      </c>
      <c r="H1798" s="210" t="str">
        <f>TEXT(A1798,"ddd")</f>
        <v>Sat</v>
      </c>
    </row>
    <row r="1799" spans="1:8" x14ac:dyDescent="0.25">
      <c r="A1799" s="13"/>
      <c r="B1799" s="14"/>
      <c r="C1799" s="39"/>
      <c r="D1799" s="39"/>
      <c r="E1799" s="36" t="str">
        <f>IF(SUM(C1799:D1799)=0," ",SUM(C1799:D1799))</f>
        <v xml:space="preserve"> </v>
      </c>
      <c r="F1799" s="14"/>
      <c r="G1799" s="120" t="e">
        <f>VLOOKUP($B1799,Information!$C$8:$F$15,4,FALSE)</f>
        <v>#N/A</v>
      </c>
      <c r="H1799" s="210" t="str">
        <f>TEXT(A1799,"ddd")</f>
        <v>Sat</v>
      </c>
    </row>
    <row r="1800" spans="1:8" x14ac:dyDescent="0.25">
      <c r="A1800" s="13"/>
      <c r="B1800" s="14"/>
      <c r="C1800" s="39"/>
      <c r="D1800" s="39"/>
      <c r="E1800" s="36" t="str">
        <f>IF(SUM(C1800:D1800)=0," ",SUM(C1800:D1800))</f>
        <v xml:space="preserve"> </v>
      </c>
      <c r="F1800" s="14"/>
      <c r="G1800" s="120" t="e">
        <f>VLOOKUP($B1800,Information!$C$8:$F$15,4,FALSE)</f>
        <v>#N/A</v>
      </c>
      <c r="H1800" s="210" t="str">
        <f>TEXT(A1800,"ddd")</f>
        <v>Sat</v>
      </c>
    </row>
    <row r="1801" spans="1:8" x14ac:dyDescent="0.25">
      <c r="A1801" s="13"/>
      <c r="B1801" s="14"/>
      <c r="C1801" s="39"/>
      <c r="D1801" s="39"/>
      <c r="E1801" s="36" t="str">
        <f>IF(SUM(C1801:D1801)=0," ",SUM(C1801:D1801))</f>
        <v xml:space="preserve"> </v>
      </c>
      <c r="F1801" s="14"/>
      <c r="G1801" s="120" t="e">
        <f>VLOOKUP($B1801,Information!$C$8:$F$15,4,FALSE)</f>
        <v>#N/A</v>
      </c>
      <c r="H1801" s="210" t="str">
        <f>TEXT(A1801,"ddd")</f>
        <v>Sat</v>
      </c>
    </row>
    <row r="1802" spans="1:8" x14ac:dyDescent="0.25">
      <c r="A1802" s="13"/>
      <c r="B1802" s="14"/>
      <c r="C1802" s="39"/>
      <c r="D1802" s="39"/>
      <c r="E1802" s="36" t="str">
        <f>IF(SUM(C1802:D1802)=0," ",SUM(C1802:D1802))</f>
        <v xml:space="preserve"> </v>
      </c>
      <c r="F1802" s="14"/>
      <c r="G1802" s="120" t="e">
        <f>VLOOKUP($B1802,Information!$C$8:$F$15,4,FALSE)</f>
        <v>#N/A</v>
      </c>
      <c r="H1802" s="210" t="str">
        <f>TEXT(A1802,"ddd")</f>
        <v>Sat</v>
      </c>
    </row>
    <row r="1803" spans="1:8" x14ac:dyDescent="0.25">
      <c r="A1803" s="13"/>
      <c r="B1803" s="14"/>
      <c r="C1803" s="39"/>
      <c r="D1803" s="39"/>
      <c r="E1803" s="36" t="str">
        <f>IF(SUM(C1803:D1803)=0," ",SUM(C1803:D1803))</f>
        <v xml:space="preserve"> </v>
      </c>
      <c r="F1803" s="14"/>
      <c r="G1803" s="120" t="e">
        <f>VLOOKUP($B1803,Information!$C$8:$F$15,4,FALSE)</f>
        <v>#N/A</v>
      </c>
      <c r="H1803" s="210" t="str">
        <f>TEXT(A1803,"ddd")</f>
        <v>Sat</v>
      </c>
    </row>
    <row r="1804" spans="1:8" x14ac:dyDescent="0.25">
      <c r="A1804" s="13"/>
      <c r="B1804" s="14"/>
      <c r="C1804" s="39"/>
      <c r="D1804" s="39"/>
      <c r="E1804" s="36" t="str">
        <f>IF(SUM(C1804:D1804)=0," ",SUM(C1804:D1804))</f>
        <v xml:space="preserve"> </v>
      </c>
      <c r="F1804" s="14"/>
      <c r="G1804" s="120" t="e">
        <f>VLOOKUP($B1804,Information!$C$8:$F$15,4,FALSE)</f>
        <v>#N/A</v>
      </c>
      <c r="H1804" s="210" t="str">
        <f>TEXT(A1804,"ddd")</f>
        <v>Sat</v>
      </c>
    </row>
    <row r="1805" spans="1:8" x14ac:dyDescent="0.25">
      <c r="A1805" s="13"/>
      <c r="B1805" s="14"/>
      <c r="C1805" s="39"/>
      <c r="D1805" s="39"/>
      <c r="E1805" s="36" t="str">
        <f>IF(SUM(C1805:D1805)=0," ",SUM(C1805:D1805))</f>
        <v xml:space="preserve"> </v>
      </c>
      <c r="F1805" s="14"/>
      <c r="G1805" s="120" t="e">
        <f>VLOOKUP($B1805,Information!$C$8:$F$15,4,FALSE)</f>
        <v>#N/A</v>
      </c>
      <c r="H1805" s="210" t="str">
        <f>TEXT(A1805,"ddd")</f>
        <v>Sat</v>
      </c>
    </row>
    <row r="1806" spans="1:8" x14ac:dyDescent="0.25">
      <c r="A1806" s="13"/>
      <c r="B1806" s="14"/>
      <c r="C1806" s="39"/>
      <c r="D1806" s="39"/>
      <c r="E1806" s="36" t="str">
        <f>IF(SUM(C1806:D1806)=0," ",SUM(C1806:D1806))</f>
        <v xml:space="preserve"> </v>
      </c>
      <c r="F1806" s="14"/>
      <c r="G1806" s="120" t="e">
        <f>VLOOKUP($B1806,Information!$C$8:$F$15,4,FALSE)</f>
        <v>#N/A</v>
      </c>
      <c r="H1806" s="210" t="str">
        <f>TEXT(A1806,"ddd")</f>
        <v>Sat</v>
      </c>
    </row>
    <row r="1807" spans="1:8" x14ac:dyDescent="0.25">
      <c r="A1807" s="13"/>
      <c r="B1807" s="14"/>
      <c r="C1807" s="39"/>
      <c r="D1807" s="39"/>
      <c r="E1807" s="36" t="str">
        <f>IF(SUM(C1807:D1807)=0," ",SUM(C1807:D1807))</f>
        <v xml:space="preserve"> </v>
      </c>
      <c r="F1807" s="14"/>
      <c r="G1807" s="120" t="e">
        <f>VLOOKUP($B1807,Information!$C$8:$F$15,4,FALSE)</f>
        <v>#N/A</v>
      </c>
      <c r="H1807" s="210" t="str">
        <f>TEXT(A1807,"ddd")</f>
        <v>Sat</v>
      </c>
    </row>
    <row r="1808" spans="1:8" x14ac:dyDescent="0.25">
      <c r="A1808" s="13"/>
      <c r="B1808" s="14"/>
      <c r="C1808" s="39"/>
      <c r="D1808" s="39"/>
      <c r="E1808" s="36" t="str">
        <f>IF(SUM(C1808:D1808)=0," ",SUM(C1808:D1808))</f>
        <v xml:space="preserve"> </v>
      </c>
      <c r="F1808" s="14"/>
      <c r="G1808" s="120" t="e">
        <f>VLOOKUP($B1808,Information!$C$8:$F$15,4,FALSE)</f>
        <v>#N/A</v>
      </c>
      <c r="H1808" s="210" t="str">
        <f>TEXT(A1808,"ddd")</f>
        <v>Sat</v>
      </c>
    </row>
    <row r="1809" spans="1:8" x14ac:dyDescent="0.25">
      <c r="A1809" s="13"/>
      <c r="B1809" s="14"/>
      <c r="C1809" s="39"/>
      <c r="D1809" s="39"/>
      <c r="E1809" s="36" t="str">
        <f>IF(SUM(C1809:D1809)=0," ",SUM(C1809:D1809))</f>
        <v xml:space="preserve"> </v>
      </c>
      <c r="F1809" s="14"/>
      <c r="G1809" s="120" t="e">
        <f>VLOOKUP($B1809,Information!$C$8:$F$15,4,FALSE)</f>
        <v>#N/A</v>
      </c>
      <c r="H1809" s="210" t="str">
        <f>TEXT(A1809,"ddd")</f>
        <v>Sat</v>
      </c>
    </row>
    <row r="1810" spans="1:8" x14ac:dyDescent="0.25">
      <c r="A1810" s="13"/>
      <c r="B1810" s="14"/>
      <c r="C1810" s="39"/>
      <c r="D1810" s="39"/>
      <c r="E1810" s="36" t="str">
        <f>IF(SUM(C1810:D1810)=0," ",SUM(C1810:D1810))</f>
        <v xml:space="preserve"> </v>
      </c>
      <c r="F1810" s="14"/>
      <c r="G1810" s="120" t="e">
        <f>VLOOKUP($B1810,Information!$C$8:$F$15,4,FALSE)</f>
        <v>#N/A</v>
      </c>
      <c r="H1810" s="210" t="str">
        <f>TEXT(A1810,"ddd")</f>
        <v>Sat</v>
      </c>
    </row>
    <row r="1811" spans="1:8" x14ac:dyDescent="0.25">
      <c r="A1811" s="13"/>
      <c r="B1811" s="14"/>
      <c r="C1811" s="39"/>
      <c r="D1811" s="39"/>
      <c r="E1811" s="36" t="str">
        <f>IF(SUM(C1811:D1811)=0," ",SUM(C1811:D1811))</f>
        <v xml:space="preserve"> </v>
      </c>
      <c r="F1811" s="14"/>
      <c r="G1811" s="120" t="e">
        <f>VLOOKUP($B1811,Information!$C$8:$F$15,4,FALSE)</f>
        <v>#N/A</v>
      </c>
      <c r="H1811" s="210" t="str">
        <f>TEXT(A1811,"ddd")</f>
        <v>Sat</v>
      </c>
    </row>
    <row r="1812" spans="1:8" x14ac:dyDescent="0.25">
      <c r="A1812" s="13"/>
      <c r="B1812" s="14"/>
      <c r="C1812" s="39"/>
      <c r="D1812" s="39"/>
      <c r="E1812" s="36" t="str">
        <f>IF(SUM(C1812:D1812)=0," ",SUM(C1812:D1812))</f>
        <v xml:space="preserve"> </v>
      </c>
      <c r="F1812" s="14"/>
      <c r="G1812" s="120" t="e">
        <f>VLOOKUP($B1812,Information!$C$8:$F$15,4,FALSE)</f>
        <v>#N/A</v>
      </c>
      <c r="H1812" s="210" t="str">
        <f>TEXT(A1812,"ddd")</f>
        <v>Sat</v>
      </c>
    </row>
    <row r="1813" spans="1:8" x14ac:dyDescent="0.25">
      <c r="A1813" s="13"/>
      <c r="B1813" s="14"/>
      <c r="C1813" s="39"/>
      <c r="D1813" s="39"/>
      <c r="E1813" s="36" t="str">
        <f>IF(SUM(C1813:D1813)=0," ",SUM(C1813:D1813))</f>
        <v xml:space="preserve"> </v>
      </c>
      <c r="F1813" s="14"/>
      <c r="G1813" s="120" t="e">
        <f>VLOOKUP($B1813,Information!$C$8:$F$15,4,FALSE)</f>
        <v>#N/A</v>
      </c>
      <c r="H1813" s="210" t="str">
        <f>TEXT(A1813,"ddd")</f>
        <v>Sat</v>
      </c>
    </row>
    <row r="1814" spans="1:8" x14ac:dyDescent="0.25">
      <c r="A1814" s="13"/>
      <c r="B1814" s="14"/>
      <c r="C1814" s="39"/>
      <c r="D1814" s="39"/>
      <c r="E1814" s="36" t="str">
        <f>IF(SUM(C1814:D1814)=0," ",SUM(C1814:D1814))</f>
        <v xml:space="preserve"> </v>
      </c>
      <c r="F1814" s="14"/>
      <c r="G1814" s="120" t="e">
        <f>VLOOKUP($B1814,Information!$C$8:$F$15,4,FALSE)</f>
        <v>#N/A</v>
      </c>
      <c r="H1814" s="210" t="str">
        <f>TEXT(A1814,"ddd")</f>
        <v>Sat</v>
      </c>
    </row>
    <row r="1815" spans="1:8" x14ac:dyDescent="0.25">
      <c r="A1815" s="13"/>
      <c r="B1815" s="14"/>
      <c r="C1815" s="39"/>
      <c r="D1815" s="39"/>
      <c r="E1815" s="36" t="str">
        <f>IF(SUM(C1815:D1815)=0," ",SUM(C1815:D1815))</f>
        <v xml:space="preserve"> </v>
      </c>
      <c r="F1815" s="14"/>
      <c r="G1815" s="120" t="e">
        <f>VLOOKUP($B1815,Information!$C$8:$F$15,4,FALSE)</f>
        <v>#N/A</v>
      </c>
      <c r="H1815" s="210" t="str">
        <f>TEXT(A1815,"ddd")</f>
        <v>Sat</v>
      </c>
    </row>
    <row r="1816" spans="1:8" x14ac:dyDescent="0.25">
      <c r="A1816" s="13"/>
      <c r="B1816" s="14"/>
      <c r="C1816" s="39"/>
      <c r="D1816" s="39"/>
      <c r="E1816" s="36" t="str">
        <f>IF(SUM(C1816:D1816)=0," ",SUM(C1816:D1816))</f>
        <v xml:space="preserve"> </v>
      </c>
      <c r="F1816" s="14"/>
      <c r="G1816" s="120" t="e">
        <f>VLOOKUP($B1816,Information!$C$8:$F$15,4,FALSE)</f>
        <v>#N/A</v>
      </c>
      <c r="H1816" s="210" t="str">
        <f>TEXT(A1816,"ddd")</f>
        <v>Sat</v>
      </c>
    </row>
    <row r="1817" spans="1:8" x14ac:dyDescent="0.25">
      <c r="A1817" s="13"/>
      <c r="B1817" s="14"/>
      <c r="C1817" s="39"/>
      <c r="D1817" s="39"/>
      <c r="E1817" s="36" t="str">
        <f>IF(SUM(C1817:D1817)=0," ",SUM(C1817:D1817))</f>
        <v xml:space="preserve"> </v>
      </c>
      <c r="F1817" s="14"/>
      <c r="G1817" s="120" t="e">
        <f>VLOOKUP($B1817,Information!$C$8:$F$15,4,FALSE)</f>
        <v>#N/A</v>
      </c>
      <c r="H1817" s="210" t="str">
        <f>TEXT(A1817,"ddd")</f>
        <v>Sat</v>
      </c>
    </row>
    <row r="1818" spans="1:8" x14ac:dyDescent="0.25">
      <c r="A1818" s="13"/>
      <c r="B1818" s="14"/>
      <c r="C1818" s="39"/>
      <c r="D1818" s="39"/>
      <c r="E1818" s="36" t="str">
        <f>IF(SUM(C1818:D1818)=0," ",SUM(C1818:D1818))</f>
        <v xml:space="preserve"> </v>
      </c>
      <c r="F1818" s="14"/>
      <c r="G1818" s="120" t="e">
        <f>VLOOKUP($B1818,Information!$C$8:$F$15,4,FALSE)</f>
        <v>#N/A</v>
      </c>
      <c r="H1818" s="210" t="str">
        <f>TEXT(A1818,"ddd")</f>
        <v>Sat</v>
      </c>
    </row>
    <row r="1819" spans="1:8" x14ac:dyDescent="0.25">
      <c r="A1819" s="13"/>
      <c r="B1819" s="14"/>
      <c r="C1819" s="39"/>
      <c r="D1819" s="39"/>
      <c r="E1819" s="36" t="str">
        <f>IF(SUM(C1819:D1819)=0," ",SUM(C1819:D1819))</f>
        <v xml:space="preserve"> </v>
      </c>
      <c r="F1819" s="14"/>
      <c r="G1819" s="120" t="e">
        <f>VLOOKUP($B1819,Information!$C$8:$F$15,4,FALSE)</f>
        <v>#N/A</v>
      </c>
      <c r="H1819" s="210" t="str">
        <f>TEXT(A1819,"ddd")</f>
        <v>Sat</v>
      </c>
    </row>
    <row r="1820" spans="1:8" x14ac:dyDescent="0.25">
      <c r="A1820" s="13"/>
      <c r="B1820" s="14"/>
      <c r="C1820" s="39"/>
      <c r="D1820" s="39"/>
      <c r="E1820" s="36" t="str">
        <f>IF(SUM(C1820:D1820)=0," ",SUM(C1820:D1820))</f>
        <v xml:space="preserve"> </v>
      </c>
      <c r="F1820" s="14"/>
      <c r="G1820" s="120" t="e">
        <f>VLOOKUP($B1820,Information!$C$8:$F$15,4,FALSE)</f>
        <v>#N/A</v>
      </c>
      <c r="H1820" s="210" t="str">
        <f>TEXT(A1820,"ddd")</f>
        <v>Sat</v>
      </c>
    </row>
    <row r="1821" spans="1:8" x14ac:dyDescent="0.25">
      <c r="A1821" s="13"/>
      <c r="B1821" s="14"/>
      <c r="C1821" s="39"/>
      <c r="D1821" s="39"/>
      <c r="E1821" s="36" t="str">
        <f>IF(SUM(C1821:D1821)=0," ",SUM(C1821:D1821))</f>
        <v xml:space="preserve"> </v>
      </c>
      <c r="F1821" s="14"/>
      <c r="G1821" s="120" t="e">
        <f>VLOOKUP($B1821,Information!$C$8:$F$15,4,FALSE)</f>
        <v>#N/A</v>
      </c>
      <c r="H1821" s="210" t="str">
        <f>TEXT(A1821,"ddd")</f>
        <v>Sat</v>
      </c>
    </row>
    <row r="1822" spans="1:8" x14ac:dyDescent="0.25">
      <c r="A1822" s="13"/>
      <c r="B1822" s="14"/>
      <c r="C1822" s="39"/>
      <c r="D1822" s="39"/>
      <c r="E1822" s="36" t="str">
        <f>IF(SUM(C1822:D1822)=0," ",SUM(C1822:D1822))</f>
        <v xml:space="preserve"> </v>
      </c>
      <c r="F1822" s="14"/>
      <c r="G1822" s="120" t="e">
        <f>VLOOKUP($B1822,Information!$C$8:$F$15,4,FALSE)</f>
        <v>#N/A</v>
      </c>
      <c r="H1822" s="210" t="str">
        <f>TEXT(A1822,"ddd")</f>
        <v>Sat</v>
      </c>
    </row>
    <row r="1823" spans="1:8" x14ac:dyDescent="0.25">
      <c r="A1823" s="13"/>
      <c r="B1823" s="14"/>
      <c r="C1823" s="39"/>
      <c r="D1823" s="39"/>
      <c r="E1823" s="36" t="str">
        <f>IF(SUM(C1823:D1823)=0," ",SUM(C1823:D1823))</f>
        <v xml:space="preserve"> </v>
      </c>
      <c r="F1823" s="14"/>
      <c r="G1823" s="120" t="e">
        <f>VLOOKUP($B1823,Information!$C$8:$F$15,4,FALSE)</f>
        <v>#N/A</v>
      </c>
      <c r="H1823" s="210" t="str">
        <f>TEXT(A1823,"ddd")</f>
        <v>Sat</v>
      </c>
    </row>
    <row r="1824" spans="1:8" x14ac:dyDescent="0.25">
      <c r="A1824" s="13"/>
      <c r="B1824" s="14"/>
      <c r="C1824" s="39"/>
      <c r="D1824" s="39"/>
      <c r="E1824" s="36" t="str">
        <f>IF(SUM(C1824:D1824)=0," ",SUM(C1824:D1824))</f>
        <v xml:space="preserve"> </v>
      </c>
      <c r="F1824" s="14"/>
      <c r="G1824" s="120" t="e">
        <f>VLOOKUP($B1824,Information!$C$8:$F$15,4,FALSE)</f>
        <v>#N/A</v>
      </c>
      <c r="H1824" s="210" t="str">
        <f>TEXT(A1824,"ddd")</f>
        <v>Sat</v>
      </c>
    </row>
    <row r="1825" spans="1:8" x14ac:dyDescent="0.25">
      <c r="A1825" s="13"/>
      <c r="B1825" s="14"/>
      <c r="C1825" s="39"/>
      <c r="D1825" s="39"/>
      <c r="E1825" s="36" t="str">
        <f>IF(SUM(C1825:D1825)=0," ",SUM(C1825:D1825))</f>
        <v xml:space="preserve"> </v>
      </c>
      <c r="F1825" s="14"/>
      <c r="G1825" s="120" t="e">
        <f>VLOOKUP($B1825,Information!$C$8:$F$15,4,FALSE)</f>
        <v>#N/A</v>
      </c>
      <c r="H1825" s="210" t="str">
        <f>TEXT(A1825,"ddd")</f>
        <v>Sat</v>
      </c>
    </row>
    <row r="1826" spans="1:8" x14ac:dyDescent="0.25">
      <c r="A1826" s="13"/>
      <c r="B1826" s="14"/>
      <c r="C1826" s="39"/>
      <c r="D1826" s="39"/>
      <c r="E1826" s="36" t="str">
        <f>IF(SUM(C1826:D1826)=0," ",SUM(C1826:D1826))</f>
        <v xml:space="preserve"> </v>
      </c>
      <c r="F1826" s="14"/>
      <c r="G1826" s="120" t="e">
        <f>VLOOKUP($B1826,Information!$C$8:$F$15,4,FALSE)</f>
        <v>#N/A</v>
      </c>
      <c r="H1826" s="210" t="str">
        <f>TEXT(A1826,"ddd")</f>
        <v>Sat</v>
      </c>
    </row>
    <row r="1827" spans="1:8" x14ac:dyDescent="0.25">
      <c r="A1827" s="13"/>
      <c r="B1827" s="14"/>
      <c r="C1827" s="39"/>
      <c r="D1827" s="39"/>
      <c r="E1827" s="36" t="str">
        <f>IF(SUM(C1827:D1827)=0," ",SUM(C1827:D1827))</f>
        <v xml:space="preserve"> </v>
      </c>
      <c r="F1827" s="14"/>
      <c r="G1827" s="120" t="e">
        <f>VLOOKUP($B1827,Information!$C$8:$F$15,4,FALSE)</f>
        <v>#N/A</v>
      </c>
      <c r="H1827" s="210" t="str">
        <f>TEXT(A1827,"ddd")</f>
        <v>Sat</v>
      </c>
    </row>
    <row r="1828" spans="1:8" x14ac:dyDescent="0.25">
      <c r="A1828" s="13"/>
      <c r="B1828" s="14"/>
      <c r="C1828" s="39"/>
      <c r="D1828" s="39"/>
      <c r="E1828" s="36" t="str">
        <f>IF(SUM(C1828:D1828)=0," ",SUM(C1828:D1828))</f>
        <v xml:space="preserve"> </v>
      </c>
      <c r="F1828" s="14"/>
      <c r="G1828" s="120" t="e">
        <f>VLOOKUP($B1828,Information!$C$8:$F$15,4,FALSE)</f>
        <v>#N/A</v>
      </c>
      <c r="H1828" s="210" t="str">
        <f>TEXT(A1828,"ddd")</f>
        <v>Sat</v>
      </c>
    </row>
    <row r="1829" spans="1:8" x14ac:dyDescent="0.25">
      <c r="A1829" s="13"/>
      <c r="B1829" s="14"/>
      <c r="C1829" s="39"/>
      <c r="D1829" s="39"/>
      <c r="E1829" s="36" t="str">
        <f>IF(SUM(C1829:D1829)=0," ",SUM(C1829:D1829))</f>
        <v xml:space="preserve"> </v>
      </c>
      <c r="F1829" s="14"/>
      <c r="G1829" s="120" t="e">
        <f>VLOOKUP($B1829,Information!$C$8:$F$15,4,FALSE)</f>
        <v>#N/A</v>
      </c>
      <c r="H1829" s="210" t="str">
        <f>TEXT(A1829,"ddd")</f>
        <v>Sat</v>
      </c>
    </row>
    <row r="1830" spans="1:8" x14ac:dyDescent="0.25">
      <c r="A1830" s="13"/>
      <c r="B1830" s="14"/>
      <c r="C1830" s="39"/>
      <c r="D1830" s="39"/>
      <c r="E1830" s="36" t="str">
        <f>IF(SUM(C1830:D1830)=0," ",SUM(C1830:D1830))</f>
        <v xml:space="preserve"> </v>
      </c>
      <c r="F1830" s="14"/>
      <c r="G1830" s="120" t="e">
        <f>VLOOKUP($B1830,Information!$C$8:$F$15,4,FALSE)</f>
        <v>#N/A</v>
      </c>
      <c r="H1830" s="210" t="str">
        <f>TEXT(A1830,"ddd")</f>
        <v>Sat</v>
      </c>
    </row>
    <row r="1831" spans="1:8" x14ac:dyDescent="0.25">
      <c r="A1831" s="13"/>
      <c r="B1831" s="14"/>
      <c r="C1831" s="39"/>
      <c r="D1831" s="39"/>
      <c r="E1831" s="36" t="str">
        <f>IF(SUM(C1831:D1831)=0," ",SUM(C1831:D1831))</f>
        <v xml:space="preserve"> </v>
      </c>
      <c r="F1831" s="14"/>
      <c r="G1831" s="120" t="e">
        <f>VLOOKUP($B1831,Information!$C$8:$F$15,4,FALSE)</f>
        <v>#N/A</v>
      </c>
      <c r="H1831" s="210" t="str">
        <f>TEXT(A1831,"ddd")</f>
        <v>Sat</v>
      </c>
    </row>
    <row r="1832" spans="1:8" x14ac:dyDescent="0.25">
      <c r="A1832" s="13"/>
      <c r="B1832" s="14"/>
      <c r="C1832" s="39"/>
      <c r="D1832" s="39"/>
      <c r="E1832" s="36" t="str">
        <f>IF(SUM(C1832:D1832)=0," ",SUM(C1832:D1832))</f>
        <v xml:space="preserve"> </v>
      </c>
      <c r="F1832" s="14"/>
      <c r="G1832" s="120" t="e">
        <f>VLOOKUP($B1832,Information!$C$8:$F$15,4,FALSE)</f>
        <v>#N/A</v>
      </c>
      <c r="H1832" s="210" t="str">
        <f>TEXT(A1832,"ddd")</f>
        <v>Sat</v>
      </c>
    </row>
    <row r="1833" spans="1:8" x14ac:dyDescent="0.25">
      <c r="A1833" s="13"/>
      <c r="B1833" s="14"/>
      <c r="C1833" s="39"/>
      <c r="D1833" s="39"/>
      <c r="E1833" s="36" t="str">
        <f>IF(SUM(C1833:D1833)=0," ",SUM(C1833:D1833))</f>
        <v xml:space="preserve"> </v>
      </c>
      <c r="F1833" s="14"/>
      <c r="G1833" s="120" t="e">
        <f>VLOOKUP($B1833,Information!$C$8:$F$15,4,FALSE)</f>
        <v>#N/A</v>
      </c>
      <c r="H1833" s="210" t="str">
        <f>TEXT(A1833,"ddd")</f>
        <v>Sat</v>
      </c>
    </row>
    <row r="1834" spans="1:8" x14ac:dyDescent="0.25">
      <c r="A1834" s="13"/>
      <c r="B1834" s="14"/>
      <c r="C1834" s="39"/>
      <c r="D1834" s="39"/>
      <c r="E1834" s="36" t="str">
        <f>IF(SUM(C1834:D1834)=0," ",SUM(C1834:D1834))</f>
        <v xml:space="preserve"> </v>
      </c>
      <c r="F1834" s="14"/>
      <c r="G1834" s="120" t="e">
        <f>VLOOKUP($B1834,Information!$C$8:$F$15,4,FALSE)</f>
        <v>#N/A</v>
      </c>
      <c r="H1834" s="210" t="str">
        <f>TEXT(A1834,"ddd")</f>
        <v>Sat</v>
      </c>
    </row>
    <row r="1835" spans="1:8" x14ac:dyDescent="0.25">
      <c r="A1835" s="13"/>
      <c r="B1835" s="14"/>
      <c r="C1835" s="39"/>
      <c r="D1835" s="39"/>
      <c r="E1835" s="36" t="str">
        <f>IF(SUM(C1835:D1835)=0," ",SUM(C1835:D1835))</f>
        <v xml:space="preserve"> </v>
      </c>
      <c r="F1835" s="14"/>
      <c r="G1835" s="120" t="e">
        <f>VLOOKUP($B1835,Information!$C$8:$F$15,4,FALSE)</f>
        <v>#N/A</v>
      </c>
      <c r="H1835" s="210" t="str">
        <f>TEXT(A1835,"ddd")</f>
        <v>Sat</v>
      </c>
    </row>
    <row r="1836" spans="1:8" x14ac:dyDescent="0.25">
      <c r="A1836" s="13"/>
      <c r="B1836" s="14"/>
      <c r="C1836" s="39"/>
      <c r="D1836" s="39"/>
      <c r="E1836" s="36" t="str">
        <f>IF(SUM(C1836:D1836)=0," ",SUM(C1836:D1836))</f>
        <v xml:space="preserve"> </v>
      </c>
      <c r="F1836" s="14"/>
      <c r="G1836" s="120" t="e">
        <f>VLOOKUP($B1836,Information!$C$8:$F$15,4,FALSE)</f>
        <v>#N/A</v>
      </c>
      <c r="H1836" s="210" t="str">
        <f>TEXT(A1836,"ddd")</f>
        <v>Sat</v>
      </c>
    </row>
    <row r="1837" spans="1:8" x14ac:dyDescent="0.25">
      <c r="A1837" s="13"/>
      <c r="B1837" s="14"/>
      <c r="C1837" s="39"/>
      <c r="D1837" s="39"/>
      <c r="E1837" s="36" t="str">
        <f>IF(SUM(C1837:D1837)=0," ",SUM(C1837:D1837))</f>
        <v xml:space="preserve"> </v>
      </c>
      <c r="F1837" s="14"/>
      <c r="G1837" s="120" t="e">
        <f>VLOOKUP($B1837,Information!$C$8:$F$15,4,FALSE)</f>
        <v>#N/A</v>
      </c>
      <c r="H1837" s="210" t="str">
        <f>TEXT(A1837,"ddd")</f>
        <v>Sat</v>
      </c>
    </row>
    <row r="1838" spans="1:8" x14ac:dyDescent="0.25">
      <c r="A1838" s="13"/>
      <c r="B1838" s="14"/>
      <c r="C1838" s="39"/>
      <c r="D1838" s="39"/>
      <c r="E1838" s="36" t="str">
        <f>IF(SUM(C1838:D1838)=0," ",SUM(C1838:D1838))</f>
        <v xml:space="preserve"> </v>
      </c>
      <c r="F1838" s="14"/>
      <c r="G1838" s="120" t="e">
        <f>VLOOKUP($B1838,Information!$C$8:$F$15,4,FALSE)</f>
        <v>#N/A</v>
      </c>
      <c r="H1838" s="210" t="str">
        <f>TEXT(A1838,"ddd")</f>
        <v>Sat</v>
      </c>
    </row>
    <row r="1839" spans="1:8" x14ac:dyDescent="0.25">
      <c r="A1839" s="13"/>
      <c r="B1839" s="14"/>
      <c r="C1839" s="39"/>
      <c r="D1839" s="39"/>
      <c r="E1839" s="36" t="str">
        <f>IF(SUM(C1839:D1839)=0," ",SUM(C1839:D1839))</f>
        <v xml:space="preserve"> </v>
      </c>
      <c r="F1839" s="14"/>
      <c r="G1839" s="120" t="e">
        <f>VLOOKUP($B1839,Information!$C$8:$F$15,4,FALSE)</f>
        <v>#N/A</v>
      </c>
      <c r="H1839" s="210" t="str">
        <f>TEXT(A1839,"ddd")</f>
        <v>Sat</v>
      </c>
    </row>
    <row r="1840" spans="1:8" x14ac:dyDescent="0.25">
      <c r="A1840" s="13"/>
      <c r="B1840" s="14"/>
      <c r="C1840" s="39"/>
      <c r="D1840" s="39"/>
      <c r="E1840" s="36" t="str">
        <f>IF(SUM(C1840:D1840)=0," ",SUM(C1840:D1840))</f>
        <v xml:space="preserve"> </v>
      </c>
      <c r="F1840" s="14"/>
      <c r="G1840" s="120" t="e">
        <f>VLOOKUP($B1840,Information!$C$8:$F$15,4,FALSE)</f>
        <v>#N/A</v>
      </c>
      <c r="H1840" s="210" t="str">
        <f>TEXT(A1840,"ddd")</f>
        <v>Sat</v>
      </c>
    </row>
    <row r="1841" spans="1:8" x14ac:dyDescent="0.25">
      <c r="A1841" s="13"/>
      <c r="B1841" s="14"/>
      <c r="C1841" s="39"/>
      <c r="D1841" s="39"/>
      <c r="E1841" s="36" t="str">
        <f>IF(SUM(C1841:D1841)=0," ",SUM(C1841:D1841))</f>
        <v xml:space="preserve"> </v>
      </c>
      <c r="F1841" s="14"/>
      <c r="G1841" s="120" t="e">
        <f>VLOOKUP($B1841,Information!$C$8:$F$15,4,FALSE)</f>
        <v>#N/A</v>
      </c>
      <c r="H1841" s="210" t="str">
        <f>TEXT(A1841,"ddd")</f>
        <v>Sat</v>
      </c>
    </row>
    <row r="1842" spans="1:8" x14ac:dyDescent="0.25">
      <c r="A1842" s="13"/>
      <c r="B1842" s="14"/>
      <c r="C1842" s="39"/>
      <c r="D1842" s="39"/>
      <c r="E1842" s="36" t="str">
        <f>IF(SUM(C1842:D1842)=0," ",SUM(C1842:D1842))</f>
        <v xml:space="preserve"> </v>
      </c>
      <c r="F1842" s="14"/>
      <c r="G1842" s="120" t="e">
        <f>VLOOKUP($B1842,Information!$C$8:$F$15,4,FALSE)</f>
        <v>#N/A</v>
      </c>
      <c r="H1842" s="210" t="str">
        <f>TEXT(A1842,"ddd")</f>
        <v>Sat</v>
      </c>
    </row>
    <row r="1843" spans="1:8" x14ac:dyDescent="0.25">
      <c r="A1843" s="13"/>
      <c r="B1843" s="14"/>
      <c r="C1843" s="39"/>
      <c r="D1843" s="39"/>
      <c r="E1843" s="36" t="str">
        <f>IF(SUM(C1843:D1843)=0," ",SUM(C1843:D1843))</f>
        <v xml:space="preserve"> </v>
      </c>
      <c r="F1843" s="14"/>
      <c r="G1843" s="120" t="e">
        <f>VLOOKUP($B1843,Information!$C$8:$F$15,4,FALSE)</f>
        <v>#N/A</v>
      </c>
      <c r="H1843" s="210" t="str">
        <f>TEXT(A1843,"ddd")</f>
        <v>Sat</v>
      </c>
    </row>
    <row r="1844" spans="1:8" x14ac:dyDescent="0.25">
      <c r="A1844" s="13"/>
      <c r="B1844" s="14"/>
      <c r="C1844" s="39"/>
      <c r="D1844" s="39"/>
      <c r="E1844" s="36" t="str">
        <f>IF(SUM(C1844:D1844)=0," ",SUM(C1844:D1844))</f>
        <v xml:space="preserve"> </v>
      </c>
      <c r="F1844" s="14"/>
      <c r="G1844" s="120" t="e">
        <f>VLOOKUP($B1844,Information!$C$8:$F$15,4,FALSE)</f>
        <v>#N/A</v>
      </c>
      <c r="H1844" s="210" t="str">
        <f>TEXT(A1844,"ddd")</f>
        <v>Sat</v>
      </c>
    </row>
    <row r="1845" spans="1:8" x14ac:dyDescent="0.25">
      <c r="A1845" s="13"/>
      <c r="B1845" s="14"/>
      <c r="C1845" s="39"/>
      <c r="D1845" s="39"/>
      <c r="E1845" s="36" t="str">
        <f>IF(SUM(C1845:D1845)=0," ",SUM(C1845:D1845))</f>
        <v xml:space="preserve"> </v>
      </c>
      <c r="F1845" s="14"/>
      <c r="G1845" s="120" t="e">
        <f>VLOOKUP($B1845,Information!$C$8:$F$15,4,FALSE)</f>
        <v>#N/A</v>
      </c>
      <c r="H1845" s="210" t="str">
        <f>TEXT(A1845,"ddd")</f>
        <v>Sat</v>
      </c>
    </row>
    <row r="1846" spans="1:8" x14ac:dyDescent="0.25">
      <c r="A1846" s="13"/>
      <c r="B1846" s="14"/>
      <c r="C1846" s="39"/>
      <c r="D1846" s="39"/>
      <c r="E1846" s="36" t="str">
        <f>IF(SUM(C1846:D1846)=0," ",SUM(C1846:D1846))</f>
        <v xml:space="preserve"> </v>
      </c>
      <c r="F1846" s="14"/>
      <c r="G1846" s="120" t="e">
        <f>VLOOKUP($B1846,Information!$C$8:$F$15,4,FALSE)</f>
        <v>#N/A</v>
      </c>
      <c r="H1846" s="210" t="str">
        <f>TEXT(A1846,"ddd")</f>
        <v>Sat</v>
      </c>
    </row>
    <row r="1847" spans="1:8" x14ac:dyDescent="0.25">
      <c r="A1847" s="13"/>
      <c r="B1847" s="14"/>
      <c r="C1847" s="39"/>
      <c r="D1847" s="39"/>
      <c r="E1847" s="36" t="str">
        <f>IF(SUM(C1847:D1847)=0," ",SUM(C1847:D1847))</f>
        <v xml:space="preserve"> </v>
      </c>
      <c r="F1847" s="14"/>
      <c r="G1847" s="120" t="e">
        <f>VLOOKUP($B1847,Information!$C$8:$F$15,4,FALSE)</f>
        <v>#N/A</v>
      </c>
      <c r="H1847" s="210" t="str">
        <f>TEXT(A1847,"ddd")</f>
        <v>Sat</v>
      </c>
    </row>
    <row r="1848" spans="1:8" x14ac:dyDescent="0.25">
      <c r="A1848" s="13"/>
      <c r="B1848" s="14"/>
      <c r="C1848" s="39"/>
      <c r="D1848" s="39"/>
      <c r="E1848" s="36" t="str">
        <f>IF(SUM(C1848:D1848)=0," ",SUM(C1848:D1848))</f>
        <v xml:space="preserve"> </v>
      </c>
      <c r="F1848" s="14"/>
      <c r="G1848" s="120" t="e">
        <f>VLOOKUP($B1848,Information!$C$8:$F$15,4,FALSE)</f>
        <v>#N/A</v>
      </c>
      <c r="H1848" s="210" t="str">
        <f>TEXT(A1848,"ddd")</f>
        <v>Sat</v>
      </c>
    </row>
    <row r="1849" spans="1:8" x14ac:dyDescent="0.25">
      <c r="A1849" s="13"/>
      <c r="B1849" s="14"/>
      <c r="C1849" s="39"/>
      <c r="D1849" s="39"/>
      <c r="E1849" s="36" t="str">
        <f>IF(SUM(C1849:D1849)=0," ",SUM(C1849:D1849))</f>
        <v xml:space="preserve"> </v>
      </c>
      <c r="F1849" s="14"/>
      <c r="G1849" s="120" t="e">
        <f>VLOOKUP($B1849,Information!$C$8:$F$15,4,FALSE)</f>
        <v>#N/A</v>
      </c>
      <c r="H1849" s="210" t="str">
        <f>TEXT(A1849,"ddd")</f>
        <v>Sat</v>
      </c>
    </row>
    <row r="1850" spans="1:8" x14ac:dyDescent="0.25">
      <c r="A1850" s="13"/>
      <c r="B1850" s="14"/>
      <c r="C1850" s="39"/>
      <c r="D1850" s="39"/>
      <c r="E1850" s="36" t="str">
        <f>IF(SUM(C1850:D1850)=0," ",SUM(C1850:D1850))</f>
        <v xml:space="preserve"> </v>
      </c>
      <c r="F1850" s="14"/>
      <c r="G1850" s="120" t="e">
        <f>VLOOKUP($B1850,Information!$C$8:$F$15,4,FALSE)</f>
        <v>#N/A</v>
      </c>
      <c r="H1850" s="210" t="str">
        <f>TEXT(A1850,"ddd")</f>
        <v>Sat</v>
      </c>
    </row>
    <row r="1851" spans="1:8" x14ac:dyDescent="0.25">
      <c r="A1851" s="13"/>
      <c r="B1851" s="14"/>
      <c r="C1851" s="39"/>
      <c r="D1851" s="39"/>
      <c r="E1851" s="36" t="str">
        <f>IF(SUM(C1851:D1851)=0," ",SUM(C1851:D1851))</f>
        <v xml:space="preserve"> </v>
      </c>
      <c r="F1851" s="14"/>
      <c r="G1851" s="120" t="e">
        <f>VLOOKUP($B1851,Information!$C$8:$F$15,4,FALSE)</f>
        <v>#N/A</v>
      </c>
      <c r="H1851" s="210" t="str">
        <f>TEXT(A1851,"ddd")</f>
        <v>Sat</v>
      </c>
    </row>
    <row r="1852" spans="1:8" x14ac:dyDescent="0.25">
      <c r="A1852" s="13"/>
      <c r="B1852" s="14"/>
      <c r="C1852" s="39"/>
      <c r="D1852" s="39"/>
      <c r="E1852" s="36" t="str">
        <f>IF(SUM(C1852:D1852)=0," ",SUM(C1852:D1852))</f>
        <v xml:space="preserve"> </v>
      </c>
      <c r="F1852" s="14"/>
      <c r="G1852" s="120" t="e">
        <f>VLOOKUP($B1852,Information!$C$8:$F$15,4,FALSE)</f>
        <v>#N/A</v>
      </c>
      <c r="H1852" s="210" t="str">
        <f>TEXT(A1852,"ddd")</f>
        <v>Sat</v>
      </c>
    </row>
    <row r="1853" spans="1:8" x14ac:dyDescent="0.25">
      <c r="A1853" s="13"/>
      <c r="B1853" s="14"/>
      <c r="C1853" s="39"/>
      <c r="D1853" s="39"/>
      <c r="E1853" s="36" t="str">
        <f>IF(SUM(C1853:D1853)=0," ",SUM(C1853:D1853))</f>
        <v xml:space="preserve"> </v>
      </c>
      <c r="F1853" s="14"/>
      <c r="G1853" s="120" t="e">
        <f>VLOOKUP($B1853,Information!$C$8:$F$15,4,FALSE)</f>
        <v>#N/A</v>
      </c>
      <c r="H1853" s="210" t="str">
        <f>TEXT(A1853,"ddd")</f>
        <v>Sat</v>
      </c>
    </row>
    <row r="1854" spans="1:8" x14ac:dyDescent="0.25">
      <c r="A1854" s="13"/>
      <c r="B1854" s="14"/>
      <c r="C1854" s="39"/>
      <c r="D1854" s="39"/>
      <c r="E1854" s="36" t="str">
        <f>IF(SUM(C1854:D1854)=0," ",SUM(C1854:D1854))</f>
        <v xml:space="preserve"> </v>
      </c>
      <c r="F1854" s="14"/>
      <c r="G1854" s="120" t="e">
        <f>VLOOKUP($B1854,Information!$C$8:$F$15,4,FALSE)</f>
        <v>#N/A</v>
      </c>
      <c r="H1854" s="210" t="str">
        <f>TEXT(A1854,"ddd")</f>
        <v>Sat</v>
      </c>
    </row>
    <row r="1855" spans="1:8" x14ac:dyDescent="0.25">
      <c r="A1855" s="13"/>
      <c r="B1855" s="14"/>
      <c r="C1855" s="39"/>
      <c r="D1855" s="39"/>
      <c r="E1855" s="36" t="str">
        <f>IF(SUM(C1855:D1855)=0," ",SUM(C1855:D1855))</f>
        <v xml:space="preserve"> </v>
      </c>
      <c r="F1855" s="14"/>
      <c r="G1855" s="120" t="e">
        <f>VLOOKUP($B1855,Information!$C$8:$F$15,4,FALSE)</f>
        <v>#N/A</v>
      </c>
      <c r="H1855" s="210" t="str">
        <f>TEXT(A1855,"ddd")</f>
        <v>Sat</v>
      </c>
    </row>
    <row r="1856" spans="1:8" x14ac:dyDescent="0.25">
      <c r="A1856" s="13"/>
      <c r="B1856" s="14"/>
      <c r="C1856" s="39"/>
      <c r="D1856" s="39"/>
      <c r="E1856" s="36" t="str">
        <f>IF(SUM(C1856:D1856)=0," ",SUM(C1856:D1856))</f>
        <v xml:space="preserve"> </v>
      </c>
      <c r="F1856" s="14"/>
      <c r="G1856" s="120" t="e">
        <f>VLOOKUP($B1856,Information!$C$8:$F$15,4,FALSE)</f>
        <v>#N/A</v>
      </c>
      <c r="H1856" s="210" t="str">
        <f>TEXT(A1856,"ddd")</f>
        <v>Sat</v>
      </c>
    </row>
    <row r="1857" spans="1:8" x14ac:dyDescent="0.25">
      <c r="A1857" s="13"/>
      <c r="B1857" s="14"/>
      <c r="C1857" s="39"/>
      <c r="D1857" s="39"/>
      <c r="E1857" s="36" t="str">
        <f>IF(SUM(C1857:D1857)=0," ",SUM(C1857:D1857))</f>
        <v xml:space="preserve"> </v>
      </c>
      <c r="F1857" s="14"/>
      <c r="G1857" s="120" t="e">
        <f>VLOOKUP($B1857,Information!$C$8:$F$15,4,FALSE)</f>
        <v>#N/A</v>
      </c>
      <c r="H1857" s="210" t="str">
        <f>TEXT(A1857,"ddd")</f>
        <v>Sat</v>
      </c>
    </row>
    <row r="1858" spans="1:8" x14ac:dyDescent="0.25">
      <c r="A1858" s="13"/>
      <c r="B1858" s="14"/>
      <c r="C1858" s="39"/>
      <c r="D1858" s="39"/>
      <c r="E1858" s="36" t="str">
        <f>IF(SUM(C1858:D1858)=0," ",SUM(C1858:D1858))</f>
        <v xml:space="preserve"> </v>
      </c>
      <c r="F1858" s="14"/>
      <c r="G1858" s="120" t="e">
        <f>VLOOKUP($B1858,Information!$C$8:$F$15,4,FALSE)</f>
        <v>#N/A</v>
      </c>
      <c r="H1858" s="210" t="str">
        <f>TEXT(A1858,"ddd")</f>
        <v>Sat</v>
      </c>
    </row>
    <row r="1859" spans="1:8" x14ac:dyDescent="0.25">
      <c r="A1859" s="13"/>
      <c r="B1859" s="14"/>
      <c r="C1859" s="39"/>
      <c r="D1859" s="39"/>
      <c r="E1859" s="36" t="str">
        <f>IF(SUM(C1859:D1859)=0," ",SUM(C1859:D1859))</f>
        <v xml:space="preserve"> </v>
      </c>
      <c r="F1859" s="14"/>
      <c r="G1859" s="120" t="e">
        <f>VLOOKUP($B1859,Information!$C$8:$F$15,4,FALSE)</f>
        <v>#N/A</v>
      </c>
      <c r="H1859" s="210" t="str">
        <f>TEXT(A1859,"ddd")</f>
        <v>Sat</v>
      </c>
    </row>
    <row r="1860" spans="1:8" x14ac:dyDescent="0.25">
      <c r="A1860" s="13"/>
      <c r="B1860" s="14"/>
      <c r="C1860" s="39"/>
      <c r="D1860" s="39"/>
      <c r="E1860" s="36" t="str">
        <f>IF(SUM(C1860:D1860)=0," ",SUM(C1860:D1860))</f>
        <v xml:space="preserve"> </v>
      </c>
      <c r="F1860" s="14"/>
      <c r="G1860" s="120" t="e">
        <f>VLOOKUP($B1860,Information!$C$8:$F$15,4,FALSE)</f>
        <v>#N/A</v>
      </c>
      <c r="H1860" s="210" t="str">
        <f>TEXT(A1860,"ddd")</f>
        <v>Sat</v>
      </c>
    </row>
    <row r="1861" spans="1:8" x14ac:dyDescent="0.25">
      <c r="A1861" s="13"/>
      <c r="B1861" s="14"/>
      <c r="C1861" s="39"/>
      <c r="D1861" s="39"/>
      <c r="E1861" s="36" t="str">
        <f>IF(SUM(C1861:D1861)=0," ",SUM(C1861:D1861))</f>
        <v xml:space="preserve"> </v>
      </c>
      <c r="F1861" s="14"/>
      <c r="G1861" s="120" t="e">
        <f>VLOOKUP($B1861,Information!$C$8:$F$15,4,FALSE)</f>
        <v>#N/A</v>
      </c>
      <c r="H1861" s="210" t="str">
        <f>TEXT(A1861,"ddd")</f>
        <v>Sat</v>
      </c>
    </row>
    <row r="1862" spans="1:8" x14ac:dyDescent="0.25">
      <c r="A1862" s="13"/>
      <c r="B1862" s="14"/>
      <c r="C1862" s="39"/>
      <c r="D1862" s="39"/>
      <c r="E1862" s="36" t="str">
        <f>IF(SUM(C1862:D1862)=0," ",SUM(C1862:D1862))</f>
        <v xml:space="preserve"> </v>
      </c>
      <c r="F1862" s="14"/>
      <c r="G1862" s="120" t="e">
        <f>VLOOKUP($B1862,Information!$C$8:$F$15,4,FALSE)</f>
        <v>#N/A</v>
      </c>
      <c r="H1862" s="210" t="str">
        <f>TEXT(A1862,"ddd")</f>
        <v>Sat</v>
      </c>
    </row>
    <row r="1863" spans="1:8" x14ac:dyDescent="0.25">
      <c r="A1863" s="13"/>
      <c r="B1863" s="14"/>
      <c r="C1863" s="39"/>
      <c r="D1863" s="39"/>
      <c r="E1863" s="36" t="str">
        <f>IF(SUM(C1863:D1863)=0," ",SUM(C1863:D1863))</f>
        <v xml:space="preserve"> </v>
      </c>
      <c r="F1863" s="14"/>
      <c r="G1863" s="120" t="e">
        <f>VLOOKUP($B1863,Information!$C$8:$F$15,4,FALSE)</f>
        <v>#N/A</v>
      </c>
      <c r="H1863" s="210" t="str">
        <f>TEXT(A1863,"ddd")</f>
        <v>Sat</v>
      </c>
    </row>
    <row r="1864" spans="1:8" x14ac:dyDescent="0.25">
      <c r="A1864" s="13"/>
      <c r="B1864" s="14"/>
      <c r="C1864" s="39"/>
      <c r="D1864" s="39"/>
      <c r="E1864" s="36" t="str">
        <f>IF(SUM(C1864:D1864)=0," ",SUM(C1864:D1864))</f>
        <v xml:space="preserve"> </v>
      </c>
      <c r="F1864" s="14"/>
      <c r="G1864" s="120" t="e">
        <f>VLOOKUP($B1864,Information!$C$8:$F$15,4,FALSE)</f>
        <v>#N/A</v>
      </c>
      <c r="H1864" s="210" t="str">
        <f>TEXT(A1864,"ddd")</f>
        <v>Sat</v>
      </c>
    </row>
    <row r="1865" spans="1:8" x14ac:dyDescent="0.25">
      <c r="A1865" s="13"/>
      <c r="B1865" s="14"/>
      <c r="C1865" s="39"/>
      <c r="D1865" s="39"/>
      <c r="E1865" s="36" t="str">
        <f>IF(SUM(C1865:D1865)=0," ",SUM(C1865:D1865))</f>
        <v xml:space="preserve"> </v>
      </c>
      <c r="F1865" s="14"/>
      <c r="G1865" s="120" t="e">
        <f>VLOOKUP($B1865,Information!$C$8:$F$15,4,FALSE)</f>
        <v>#N/A</v>
      </c>
      <c r="H1865" s="210" t="str">
        <f>TEXT(A1865,"ddd")</f>
        <v>Sat</v>
      </c>
    </row>
    <row r="1866" spans="1:8" x14ac:dyDescent="0.25">
      <c r="A1866" s="13"/>
      <c r="B1866" s="14"/>
      <c r="C1866" s="39"/>
      <c r="D1866" s="39"/>
      <c r="E1866" s="36" t="str">
        <f>IF(SUM(C1866:D1866)=0," ",SUM(C1866:D1866))</f>
        <v xml:space="preserve"> </v>
      </c>
      <c r="F1866" s="14"/>
      <c r="G1866" s="120" t="e">
        <f>VLOOKUP($B1866,Information!$C$8:$F$15,4,FALSE)</f>
        <v>#N/A</v>
      </c>
      <c r="H1866" s="210" t="str">
        <f>TEXT(A1866,"ddd")</f>
        <v>Sat</v>
      </c>
    </row>
    <row r="1867" spans="1:8" x14ac:dyDescent="0.25">
      <c r="A1867" s="13"/>
      <c r="B1867" s="14"/>
      <c r="C1867" s="39"/>
      <c r="D1867" s="39"/>
      <c r="E1867" s="36" t="str">
        <f>IF(SUM(C1867:D1867)=0," ",SUM(C1867:D1867))</f>
        <v xml:space="preserve"> </v>
      </c>
      <c r="F1867" s="14"/>
      <c r="G1867" s="120" t="e">
        <f>VLOOKUP($B1867,Information!$C$8:$F$15,4,FALSE)</f>
        <v>#N/A</v>
      </c>
      <c r="H1867" s="210" t="str">
        <f>TEXT(A1867,"ddd")</f>
        <v>Sat</v>
      </c>
    </row>
    <row r="1868" spans="1:8" x14ac:dyDescent="0.25">
      <c r="A1868" s="13"/>
      <c r="B1868" s="14"/>
      <c r="C1868" s="39"/>
      <c r="D1868" s="39"/>
      <c r="E1868" s="36" t="str">
        <f>IF(SUM(C1868:D1868)=0," ",SUM(C1868:D1868))</f>
        <v xml:space="preserve"> </v>
      </c>
      <c r="F1868" s="14"/>
      <c r="G1868" s="120" t="e">
        <f>VLOOKUP($B1868,Information!$C$8:$F$15,4,FALSE)</f>
        <v>#N/A</v>
      </c>
      <c r="H1868" s="210" t="str">
        <f>TEXT(A1868,"ddd")</f>
        <v>Sat</v>
      </c>
    </row>
    <row r="1869" spans="1:8" x14ac:dyDescent="0.25">
      <c r="A1869" s="13"/>
      <c r="B1869" s="14"/>
      <c r="C1869" s="39"/>
      <c r="D1869" s="39"/>
      <c r="E1869" s="36" t="str">
        <f>IF(SUM(C1869:D1869)=0," ",SUM(C1869:D1869))</f>
        <v xml:space="preserve"> </v>
      </c>
      <c r="F1869" s="14"/>
      <c r="G1869" s="120" t="e">
        <f>VLOOKUP($B1869,Information!$C$8:$F$15,4,FALSE)</f>
        <v>#N/A</v>
      </c>
      <c r="H1869" s="210" t="str">
        <f>TEXT(A1869,"ddd")</f>
        <v>Sat</v>
      </c>
    </row>
    <row r="1870" spans="1:8" x14ac:dyDescent="0.25">
      <c r="A1870" s="13"/>
      <c r="B1870" s="14"/>
      <c r="C1870" s="39"/>
      <c r="D1870" s="39"/>
      <c r="E1870" s="36" t="str">
        <f>IF(SUM(C1870:D1870)=0," ",SUM(C1870:D1870))</f>
        <v xml:space="preserve"> </v>
      </c>
      <c r="F1870" s="14"/>
      <c r="G1870" s="120" t="e">
        <f>VLOOKUP($B1870,Information!$C$8:$F$15,4,FALSE)</f>
        <v>#N/A</v>
      </c>
      <c r="H1870" s="210" t="str">
        <f>TEXT(A1870,"ddd")</f>
        <v>Sat</v>
      </c>
    </row>
    <row r="1871" spans="1:8" x14ac:dyDescent="0.25">
      <c r="A1871" s="13"/>
      <c r="B1871" s="14"/>
      <c r="C1871" s="39"/>
      <c r="D1871" s="39"/>
      <c r="E1871" s="36" t="str">
        <f>IF(SUM(C1871:D1871)=0," ",SUM(C1871:D1871))</f>
        <v xml:space="preserve"> </v>
      </c>
      <c r="F1871" s="14"/>
      <c r="G1871" s="120" t="e">
        <f>VLOOKUP($B1871,Information!$C$8:$F$15,4,FALSE)</f>
        <v>#N/A</v>
      </c>
      <c r="H1871" s="210" t="str">
        <f>TEXT(A1871,"ddd")</f>
        <v>Sat</v>
      </c>
    </row>
    <row r="1872" spans="1:8" x14ac:dyDescent="0.25">
      <c r="A1872" s="13"/>
      <c r="B1872" s="14"/>
      <c r="C1872" s="39"/>
      <c r="D1872" s="39"/>
      <c r="E1872" s="36" t="str">
        <f>IF(SUM(C1872:D1872)=0," ",SUM(C1872:D1872))</f>
        <v xml:space="preserve"> </v>
      </c>
      <c r="F1872" s="14"/>
      <c r="G1872" s="120" t="e">
        <f>VLOOKUP($B1872,Information!$C$8:$F$15,4,FALSE)</f>
        <v>#N/A</v>
      </c>
      <c r="H1872" s="210" t="str">
        <f>TEXT(A1872,"ddd")</f>
        <v>Sat</v>
      </c>
    </row>
    <row r="1873" spans="1:8" x14ac:dyDescent="0.25">
      <c r="A1873" s="13"/>
      <c r="B1873" s="14"/>
      <c r="C1873" s="39"/>
      <c r="D1873" s="39"/>
      <c r="E1873" s="36" t="str">
        <f>IF(SUM(C1873:D1873)=0," ",SUM(C1873:D1873))</f>
        <v xml:space="preserve"> </v>
      </c>
      <c r="F1873" s="14"/>
      <c r="G1873" s="120" t="e">
        <f>VLOOKUP($B1873,Information!$C$8:$F$15,4,FALSE)</f>
        <v>#N/A</v>
      </c>
      <c r="H1873" s="210" t="str">
        <f>TEXT(A1873,"ddd")</f>
        <v>Sat</v>
      </c>
    </row>
    <row r="1874" spans="1:8" x14ac:dyDescent="0.25">
      <c r="A1874" s="13"/>
      <c r="B1874" s="14"/>
      <c r="C1874" s="39"/>
      <c r="D1874" s="39"/>
      <c r="E1874" s="36" t="str">
        <f>IF(SUM(C1874:D1874)=0," ",SUM(C1874:D1874))</f>
        <v xml:space="preserve"> </v>
      </c>
      <c r="F1874" s="14"/>
      <c r="G1874" s="120" t="e">
        <f>VLOOKUP($B1874,Information!$C$8:$F$15,4,FALSE)</f>
        <v>#N/A</v>
      </c>
      <c r="H1874" s="210" t="str">
        <f>TEXT(A1874,"ddd")</f>
        <v>Sat</v>
      </c>
    </row>
    <row r="1875" spans="1:8" x14ac:dyDescent="0.25">
      <c r="A1875" s="13"/>
      <c r="B1875" s="14"/>
      <c r="C1875" s="39"/>
      <c r="D1875" s="39"/>
      <c r="E1875" s="36" t="str">
        <f>IF(SUM(C1875:D1875)=0," ",SUM(C1875:D1875))</f>
        <v xml:space="preserve"> </v>
      </c>
      <c r="F1875" s="14"/>
      <c r="G1875" s="120" t="e">
        <f>VLOOKUP($B1875,Information!$C$8:$F$15,4,FALSE)</f>
        <v>#N/A</v>
      </c>
      <c r="H1875" s="210" t="str">
        <f>TEXT(A1875,"ddd")</f>
        <v>Sat</v>
      </c>
    </row>
    <row r="1876" spans="1:8" x14ac:dyDescent="0.25">
      <c r="A1876" s="13"/>
      <c r="B1876" s="14"/>
      <c r="C1876" s="39"/>
      <c r="D1876" s="39"/>
      <c r="E1876" s="36" t="str">
        <f>IF(SUM(C1876:D1876)=0," ",SUM(C1876:D1876))</f>
        <v xml:space="preserve"> </v>
      </c>
      <c r="F1876" s="14"/>
      <c r="G1876" s="120" t="e">
        <f>VLOOKUP($B1876,Information!$C$8:$F$15,4,FALSE)</f>
        <v>#N/A</v>
      </c>
      <c r="H1876" s="210" t="str">
        <f>TEXT(A1876,"ddd")</f>
        <v>Sat</v>
      </c>
    </row>
    <row r="1877" spans="1:8" x14ac:dyDescent="0.25">
      <c r="A1877" s="13"/>
      <c r="B1877" s="14"/>
      <c r="C1877" s="39"/>
      <c r="D1877" s="39"/>
      <c r="E1877" s="36" t="str">
        <f>IF(SUM(C1877:D1877)=0," ",SUM(C1877:D1877))</f>
        <v xml:space="preserve"> </v>
      </c>
      <c r="F1877" s="14"/>
      <c r="G1877" s="120" t="e">
        <f>VLOOKUP($B1877,Information!$C$8:$F$15,4,FALSE)</f>
        <v>#N/A</v>
      </c>
      <c r="H1877" s="210" t="str">
        <f>TEXT(A1877,"ddd")</f>
        <v>Sat</v>
      </c>
    </row>
    <row r="1878" spans="1:8" x14ac:dyDescent="0.25">
      <c r="A1878" s="13"/>
      <c r="B1878" s="14"/>
      <c r="C1878" s="39"/>
      <c r="D1878" s="39"/>
      <c r="E1878" s="36" t="str">
        <f>IF(SUM(C1878:D1878)=0," ",SUM(C1878:D1878))</f>
        <v xml:space="preserve"> </v>
      </c>
      <c r="F1878" s="14"/>
      <c r="G1878" s="120" t="e">
        <f>VLOOKUP($B1878,Information!$C$8:$F$15,4,FALSE)</f>
        <v>#N/A</v>
      </c>
      <c r="H1878" s="210" t="str">
        <f>TEXT(A1878,"ddd")</f>
        <v>Sat</v>
      </c>
    </row>
    <row r="1879" spans="1:8" x14ac:dyDescent="0.25">
      <c r="A1879" s="13"/>
      <c r="B1879" s="14"/>
      <c r="C1879" s="39"/>
      <c r="D1879" s="39"/>
      <c r="E1879" s="36" t="str">
        <f>IF(SUM(C1879:D1879)=0," ",SUM(C1879:D1879))</f>
        <v xml:space="preserve"> </v>
      </c>
      <c r="F1879" s="14"/>
      <c r="G1879" s="120" t="e">
        <f>VLOOKUP($B1879,Information!$C$8:$F$15,4,FALSE)</f>
        <v>#N/A</v>
      </c>
      <c r="H1879" s="210" t="str">
        <f>TEXT(A1879,"ddd")</f>
        <v>Sat</v>
      </c>
    </row>
    <row r="1880" spans="1:8" x14ac:dyDescent="0.25">
      <c r="A1880" s="13"/>
      <c r="B1880" s="14"/>
      <c r="C1880" s="39"/>
      <c r="D1880" s="39"/>
      <c r="E1880" s="36" t="str">
        <f>IF(SUM(C1880:D1880)=0," ",SUM(C1880:D1880))</f>
        <v xml:space="preserve"> </v>
      </c>
      <c r="F1880" s="14"/>
      <c r="G1880" s="120" t="e">
        <f>VLOOKUP($B1880,Information!$C$8:$F$15,4,FALSE)</f>
        <v>#N/A</v>
      </c>
      <c r="H1880" s="210" t="str">
        <f>TEXT(A1880,"ddd")</f>
        <v>Sat</v>
      </c>
    </row>
    <row r="1881" spans="1:8" x14ac:dyDescent="0.25">
      <c r="A1881" s="13"/>
      <c r="B1881" s="14"/>
      <c r="C1881" s="39"/>
      <c r="D1881" s="39"/>
      <c r="E1881" s="36" t="str">
        <f>IF(SUM(C1881:D1881)=0," ",SUM(C1881:D1881))</f>
        <v xml:space="preserve"> </v>
      </c>
      <c r="F1881" s="14"/>
      <c r="G1881" s="120" t="e">
        <f>VLOOKUP($B1881,Information!$C$8:$F$15,4,FALSE)</f>
        <v>#N/A</v>
      </c>
      <c r="H1881" s="210" t="str">
        <f>TEXT(A1881,"ddd")</f>
        <v>Sat</v>
      </c>
    </row>
    <row r="1882" spans="1:8" x14ac:dyDescent="0.25">
      <c r="A1882" s="13"/>
      <c r="B1882" s="14"/>
      <c r="C1882" s="39"/>
      <c r="D1882" s="39"/>
      <c r="E1882" s="36" t="str">
        <f>IF(SUM(C1882:D1882)=0," ",SUM(C1882:D1882))</f>
        <v xml:space="preserve"> </v>
      </c>
      <c r="F1882" s="14"/>
      <c r="G1882" s="120" t="e">
        <f>VLOOKUP($B1882,Information!$C$8:$F$15,4,FALSE)</f>
        <v>#N/A</v>
      </c>
      <c r="H1882" s="210" t="str">
        <f>TEXT(A1882,"ddd")</f>
        <v>Sat</v>
      </c>
    </row>
    <row r="1883" spans="1:8" x14ac:dyDescent="0.25">
      <c r="A1883" s="13"/>
      <c r="B1883" s="14"/>
      <c r="C1883" s="39"/>
      <c r="D1883" s="39"/>
      <c r="E1883" s="36" t="str">
        <f>IF(SUM(C1883:D1883)=0," ",SUM(C1883:D1883))</f>
        <v xml:space="preserve"> </v>
      </c>
      <c r="F1883" s="14"/>
      <c r="G1883" s="120" t="e">
        <f>VLOOKUP($B1883,Information!$C$8:$F$15,4,FALSE)</f>
        <v>#N/A</v>
      </c>
      <c r="H1883" s="210" t="str">
        <f>TEXT(A1883,"ddd")</f>
        <v>Sat</v>
      </c>
    </row>
    <row r="1884" spans="1:8" x14ac:dyDescent="0.25">
      <c r="A1884" s="13"/>
      <c r="B1884" s="14"/>
      <c r="C1884" s="39"/>
      <c r="D1884" s="39"/>
      <c r="E1884" s="36" t="str">
        <f>IF(SUM(C1884:D1884)=0," ",SUM(C1884:D1884))</f>
        <v xml:space="preserve"> </v>
      </c>
      <c r="F1884" s="14"/>
      <c r="G1884" s="120" t="e">
        <f>VLOOKUP($B1884,Information!$C$8:$F$15,4,FALSE)</f>
        <v>#N/A</v>
      </c>
      <c r="H1884" s="210" t="str">
        <f>TEXT(A1884,"ddd")</f>
        <v>Sat</v>
      </c>
    </row>
    <row r="1885" spans="1:8" x14ac:dyDescent="0.25">
      <c r="A1885" s="13"/>
      <c r="B1885" s="14"/>
      <c r="C1885" s="39"/>
      <c r="D1885" s="39"/>
      <c r="E1885" s="36" t="str">
        <f>IF(SUM(C1885:D1885)=0," ",SUM(C1885:D1885))</f>
        <v xml:space="preserve"> </v>
      </c>
      <c r="F1885" s="14"/>
      <c r="G1885" s="120" t="e">
        <f>VLOOKUP($B1885,Information!$C$8:$F$15,4,FALSE)</f>
        <v>#N/A</v>
      </c>
      <c r="H1885" s="210" t="str">
        <f>TEXT(A1885,"ddd")</f>
        <v>Sat</v>
      </c>
    </row>
    <row r="1886" spans="1:8" x14ac:dyDescent="0.25">
      <c r="A1886" s="13"/>
      <c r="B1886" s="14"/>
      <c r="C1886" s="39"/>
      <c r="D1886" s="39"/>
      <c r="E1886" s="36" t="str">
        <f>IF(SUM(C1886:D1886)=0," ",SUM(C1886:D1886))</f>
        <v xml:space="preserve"> </v>
      </c>
      <c r="F1886" s="14"/>
      <c r="G1886" s="120" t="e">
        <f>VLOOKUP($B1886,Information!$C$8:$F$15,4,FALSE)</f>
        <v>#N/A</v>
      </c>
      <c r="H1886" s="210" t="str">
        <f>TEXT(A1886,"ddd")</f>
        <v>Sat</v>
      </c>
    </row>
    <row r="1887" spans="1:8" x14ac:dyDescent="0.25">
      <c r="A1887" s="13"/>
      <c r="B1887" s="14"/>
      <c r="C1887" s="39"/>
      <c r="D1887" s="39"/>
      <c r="E1887" s="36" t="str">
        <f>IF(SUM(C1887:D1887)=0," ",SUM(C1887:D1887))</f>
        <v xml:space="preserve"> </v>
      </c>
      <c r="F1887" s="14"/>
      <c r="G1887" s="120" t="e">
        <f>VLOOKUP($B1887,Information!$C$8:$F$15,4,FALSE)</f>
        <v>#N/A</v>
      </c>
      <c r="H1887" s="210" t="str">
        <f>TEXT(A1887,"ddd")</f>
        <v>Sat</v>
      </c>
    </row>
    <row r="1888" spans="1:8" x14ac:dyDescent="0.25">
      <c r="A1888" s="13"/>
      <c r="B1888" s="14"/>
      <c r="C1888" s="39"/>
      <c r="D1888" s="39"/>
      <c r="E1888" s="36" t="str">
        <f>IF(SUM(C1888:D1888)=0," ",SUM(C1888:D1888))</f>
        <v xml:space="preserve"> </v>
      </c>
      <c r="F1888" s="14"/>
      <c r="G1888" s="120" t="e">
        <f>VLOOKUP($B1888,Information!$C$8:$F$15,4,FALSE)</f>
        <v>#N/A</v>
      </c>
      <c r="H1888" s="210" t="str">
        <f>TEXT(A1888,"ddd")</f>
        <v>Sat</v>
      </c>
    </row>
    <row r="1889" spans="1:8" x14ac:dyDescent="0.25">
      <c r="A1889" s="13"/>
      <c r="B1889" s="14"/>
      <c r="C1889" s="39"/>
      <c r="D1889" s="39"/>
      <c r="E1889" s="36" t="str">
        <f>IF(SUM(C1889:D1889)=0," ",SUM(C1889:D1889))</f>
        <v xml:space="preserve"> </v>
      </c>
      <c r="F1889" s="14"/>
      <c r="G1889" s="120" t="e">
        <f>VLOOKUP($B1889,Information!$C$8:$F$15,4,FALSE)</f>
        <v>#N/A</v>
      </c>
      <c r="H1889" s="210" t="str">
        <f>TEXT(A1889,"ddd")</f>
        <v>Sat</v>
      </c>
    </row>
    <row r="1890" spans="1:8" x14ac:dyDescent="0.25">
      <c r="A1890" s="13"/>
      <c r="B1890" s="14"/>
      <c r="C1890" s="39"/>
      <c r="D1890" s="39"/>
      <c r="E1890" s="36" t="str">
        <f>IF(SUM(C1890:D1890)=0," ",SUM(C1890:D1890))</f>
        <v xml:space="preserve"> </v>
      </c>
      <c r="F1890" s="14"/>
      <c r="G1890" s="120" t="e">
        <f>VLOOKUP($B1890,Information!$C$8:$F$15,4,FALSE)</f>
        <v>#N/A</v>
      </c>
      <c r="H1890" s="210" t="str">
        <f>TEXT(A1890,"ddd")</f>
        <v>Sat</v>
      </c>
    </row>
    <row r="1891" spans="1:8" x14ac:dyDescent="0.25">
      <c r="A1891" s="13"/>
      <c r="B1891" s="14"/>
      <c r="C1891" s="39"/>
      <c r="D1891" s="39"/>
      <c r="E1891" s="36" t="str">
        <f>IF(SUM(C1891:D1891)=0," ",SUM(C1891:D1891))</f>
        <v xml:space="preserve"> </v>
      </c>
      <c r="F1891" s="14"/>
      <c r="G1891" s="120" t="e">
        <f>VLOOKUP($B1891,Information!$C$8:$F$15,4,FALSE)</f>
        <v>#N/A</v>
      </c>
      <c r="H1891" s="210" t="str">
        <f>TEXT(A1891,"ddd")</f>
        <v>Sat</v>
      </c>
    </row>
    <row r="1892" spans="1:8" x14ac:dyDescent="0.25">
      <c r="A1892" s="13"/>
      <c r="B1892" s="14"/>
      <c r="C1892" s="39"/>
      <c r="D1892" s="39"/>
      <c r="E1892" s="36" t="str">
        <f>IF(SUM(C1892:D1892)=0," ",SUM(C1892:D1892))</f>
        <v xml:space="preserve"> </v>
      </c>
      <c r="F1892" s="14"/>
      <c r="G1892" s="120" t="e">
        <f>VLOOKUP($B1892,Information!$C$8:$F$15,4,FALSE)</f>
        <v>#N/A</v>
      </c>
      <c r="H1892" s="210" t="str">
        <f>TEXT(A1892,"ddd")</f>
        <v>Sat</v>
      </c>
    </row>
    <row r="1893" spans="1:8" x14ac:dyDescent="0.25">
      <c r="A1893" s="13"/>
      <c r="B1893" s="14"/>
      <c r="C1893" s="39"/>
      <c r="D1893" s="39"/>
      <c r="E1893" s="36" t="str">
        <f>IF(SUM(C1893:D1893)=0," ",SUM(C1893:D1893))</f>
        <v xml:space="preserve"> </v>
      </c>
      <c r="F1893" s="14"/>
      <c r="G1893" s="120" t="e">
        <f>VLOOKUP($B1893,Information!$C$8:$F$15,4,FALSE)</f>
        <v>#N/A</v>
      </c>
      <c r="H1893" s="210" t="str">
        <f>TEXT(A1893,"ddd")</f>
        <v>Sat</v>
      </c>
    </row>
    <row r="1894" spans="1:8" x14ac:dyDescent="0.25">
      <c r="A1894" s="13"/>
      <c r="B1894" s="14"/>
      <c r="C1894" s="39"/>
      <c r="D1894" s="39"/>
      <c r="E1894" s="36" t="str">
        <f>IF(SUM(C1894:D1894)=0," ",SUM(C1894:D1894))</f>
        <v xml:space="preserve"> </v>
      </c>
      <c r="F1894" s="14"/>
      <c r="G1894" s="120" t="e">
        <f>VLOOKUP($B1894,Information!$C$8:$F$15,4,FALSE)</f>
        <v>#N/A</v>
      </c>
      <c r="H1894" s="210" t="str">
        <f>TEXT(A1894,"ddd")</f>
        <v>Sat</v>
      </c>
    </row>
    <row r="1895" spans="1:8" x14ac:dyDescent="0.25">
      <c r="A1895" s="13"/>
      <c r="B1895" s="14"/>
      <c r="C1895" s="39"/>
      <c r="D1895" s="39"/>
      <c r="E1895" s="36" t="str">
        <f>IF(SUM(C1895:D1895)=0," ",SUM(C1895:D1895))</f>
        <v xml:space="preserve"> </v>
      </c>
      <c r="F1895" s="14"/>
      <c r="G1895" s="120" t="e">
        <f>VLOOKUP($B1895,Information!$C$8:$F$15,4,FALSE)</f>
        <v>#N/A</v>
      </c>
      <c r="H1895" s="210" t="str">
        <f>TEXT(A1895,"ddd")</f>
        <v>Sat</v>
      </c>
    </row>
    <row r="1896" spans="1:8" x14ac:dyDescent="0.25">
      <c r="A1896" s="13"/>
      <c r="B1896" s="14"/>
      <c r="C1896" s="39"/>
      <c r="D1896" s="39"/>
      <c r="E1896" s="36" t="str">
        <f>IF(SUM(C1896:D1896)=0," ",SUM(C1896:D1896))</f>
        <v xml:space="preserve"> </v>
      </c>
      <c r="F1896" s="14"/>
      <c r="G1896" s="120" t="e">
        <f>VLOOKUP($B1896,Information!$C$8:$F$15,4,FALSE)</f>
        <v>#N/A</v>
      </c>
      <c r="H1896" s="210" t="str">
        <f>TEXT(A1896,"ddd")</f>
        <v>Sat</v>
      </c>
    </row>
    <row r="1897" spans="1:8" x14ac:dyDescent="0.25">
      <c r="A1897" s="13"/>
      <c r="B1897" s="14"/>
      <c r="C1897" s="39"/>
      <c r="D1897" s="39"/>
      <c r="E1897" s="36" t="str">
        <f>IF(SUM(C1897:D1897)=0," ",SUM(C1897:D1897))</f>
        <v xml:space="preserve"> </v>
      </c>
      <c r="F1897" s="14"/>
      <c r="G1897" s="120" t="e">
        <f>VLOOKUP($B1897,Information!$C$8:$F$15,4,FALSE)</f>
        <v>#N/A</v>
      </c>
      <c r="H1897" s="210" t="str">
        <f>TEXT(A1897,"ddd")</f>
        <v>Sat</v>
      </c>
    </row>
    <row r="1898" spans="1:8" x14ac:dyDescent="0.25">
      <c r="A1898" s="13"/>
      <c r="B1898" s="14"/>
      <c r="C1898" s="39"/>
      <c r="D1898" s="39"/>
      <c r="E1898" s="36" t="str">
        <f>IF(SUM(C1898:D1898)=0," ",SUM(C1898:D1898))</f>
        <v xml:space="preserve"> </v>
      </c>
      <c r="F1898" s="14"/>
      <c r="G1898" s="120" t="e">
        <f>VLOOKUP($B1898,Information!$C$8:$F$15,4,FALSE)</f>
        <v>#N/A</v>
      </c>
      <c r="H1898" s="210" t="str">
        <f>TEXT(A1898,"ddd")</f>
        <v>Sat</v>
      </c>
    </row>
    <row r="1899" spans="1:8" x14ac:dyDescent="0.25">
      <c r="A1899" s="13"/>
      <c r="B1899" s="14"/>
      <c r="C1899" s="39"/>
      <c r="D1899" s="39"/>
      <c r="E1899" s="36" t="str">
        <f>IF(SUM(C1899:D1899)=0," ",SUM(C1899:D1899))</f>
        <v xml:space="preserve"> </v>
      </c>
      <c r="F1899" s="14"/>
      <c r="G1899" s="120" t="e">
        <f>VLOOKUP($B1899,Information!$C$8:$F$15,4,FALSE)</f>
        <v>#N/A</v>
      </c>
      <c r="H1899" s="210" t="str">
        <f>TEXT(A1899,"ddd")</f>
        <v>Sat</v>
      </c>
    </row>
    <row r="1900" spans="1:8" x14ac:dyDescent="0.25">
      <c r="A1900" s="13"/>
      <c r="B1900" s="14"/>
      <c r="C1900" s="39"/>
      <c r="D1900" s="39"/>
      <c r="E1900" s="36" t="str">
        <f>IF(SUM(C1900:D1900)=0," ",SUM(C1900:D1900))</f>
        <v xml:space="preserve"> </v>
      </c>
      <c r="F1900" s="14"/>
      <c r="G1900" s="120" t="e">
        <f>VLOOKUP($B1900,Information!$C$8:$F$15,4,FALSE)</f>
        <v>#N/A</v>
      </c>
      <c r="H1900" s="210" t="str">
        <f>TEXT(A1900,"ddd")</f>
        <v>Sat</v>
      </c>
    </row>
    <row r="1901" spans="1:8" x14ac:dyDescent="0.25">
      <c r="A1901" s="13"/>
      <c r="B1901" s="14"/>
      <c r="C1901" s="39"/>
      <c r="D1901" s="39"/>
      <c r="E1901" s="36" t="str">
        <f>IF(SUM(C1901:D1901)=0," ",SUM(C1901:D1901))</f>
        <v xml:space="preserve"> </v>
      </c>
      <c r="F1901" s="14"/>
      <c r="G1901" s="120" t="e">
        <f>VLOOKUP($B1901,Information!$C$8:$F$15,4,FALSE)</f>
        <v>#N/A</v>
      </c>
      <c r="H1901" s="210" t="str">
        <f>TEXT(A1901,"ddd")</f>
        <v>Sat</v>
      </c>
    </row>
    <row r="1902" spans="1:8" x14ac:dyDescent="0.25">
      <c r="A1902" s="13"/>
      <c r="B1902" s="14"/>
      <c r="C1902" s="39"/>
      <c r="D1902" s="39"/>
      <c r="E1902" s="36" t="str">
        <f>IF(SUM(C1902:D1902)=0," ",SUM(C1902:D1902))</f>
        <v xml:space="preserve"> </v>
      </c>
      <c r="F1902" s="14"/>
      <c r="G1902" s="120" t="e">
        <f>VLOOKUP($B1902,Information!$C$8:$F$15,4,FALSE)</f>
        <v>#N/A</v>
      </c>
      <c r="H1902" s="210" t="str">
        <f>TEXT(A1902,"ddd")</f>
        <v>Sat</v>
      </c>
    </row>
    <row r="1903" spans="1:8" x14ac:dyDescent="0.25">
      <c r="A1903" s="13"/>
      <c r="B1903" s="14"/>
      <c r="C1903" s="39"/>
      <c r="D1903" s="39"/>
      <c r="E1903" s="36" t="str">
        <f>IF(SUM(C1903:D1903)=0," ",SUM(C1903:D1903))</f>
        <v xml:space="preserve"> </v>
      </c>
      <c r="F1903" s="14"/>
      <c r="G1903" s="120" t="e">
        <f>VLOOKUP($B1903,Information!$C$8:$F$15,4,FALSE)</f>
        <v>#N/A</v>
      </c>
      <c r="H1903" s="210" t="str">
        <f>TEXT(A1903,"ddd")</f>
        <v>Sat</v>
      </c>
    </row>
    <row r="1904" spans="1:8" x14ac:dyDescent="0.25">
      <c r="A1904" s="13"/>
      <c r="B1904" s="14"/>
      <c r="C1904" s="39"/>
      <c r="D1904" s="39"/>
      <c r="E1904" s="36" t="str">
        <f>IF(SUM(C1904:D1904)=0," ",SUM(C1904:D1904))</f>
        <v xml:space="preserve"> </v>
      </c>
      <c r="F1904" s="14"/>
      <c r="G1904" s="120" t="e">
        <f>VLOOKUP($B1904,Information!$C$8:$F$15,4,FALSE)</f>
        <v>#N/A</v>
      </c>
      <c r="H1904" s="210" t="str">
        <f>TEXT(A1904,"ddd")</f>
        <v>Sat</v>
      </c>
    </row>
    <row r="1905" spans="1:8" x14ac:dyDescent="0.25">
      <c r="A1905" s="13"/>
      <c r="B1905" s="14"/>
      <c r="C1905" s="39"/>
      <c r="D1905" s="39"/>
      <c r="E1905" s="36" t="str">
        <f>IF(SUM(C1905:D1905)=0," ",SUM(C1905:D1905))</f>
        <v xml:space="preserve"> </v>
      </c>
      <c r="F1905" s="14"/>
      <c r="G1905" s="120" t="e">
        <f>VLOOKUP($B1905,Information!$C$8:$F$15,4,FALSE)</f>
        <v>#N/A</v>
      </c>
      <c r="H1905" s="210" t="str">
        <f>TEXT(A1905,"ddd")</f>
        <v>Sat</v>
      </c>
    </row>
    <row r="1906" spans="1:8" x14ac:dyDescent="0.25">
      <c r="A1906" s="13"/>
      <c r="B1906" s="14"/>
      <c r="C1906" s="39"/>
      <c r="D1906" s="39"/>
      <c r="E1906" s="36" t="str">
        <f>IF(SUM(C1906:D1906)=0," ",SUM(C1906:D1906))</f>
        <v xml:space="preserve"> </v>
      </c>
      <c r="F1906" s="14"/>
      <c r="G1906" s="120" t="e">
        <f>VLOOKUP($B1906,Information!$C$8:$F$15,4,FALSE)</f>
        <v>#N/A</v>
      </c>
      <c r="H1906" s="210" t="str">
        <f>TEXT(A1906,"ddd")</f>
        <v>Sat</v>
      </c>
    </row>
    <row r="1907" spans="1:8" x14ac:dyDescent="0.25">
      <c r="A1907" s="13"/>
      <c r="B1907" s="14"/>
      <c r="C1907" s="39"/>
      <c r="D1907" s="39"/>
      <c r="E1907" s="36" t="str">
        <f>IF(SUM(C1907:D1907)=0," ",SUM(C1907:D1907))</f>
        <v xml:space="preserve"> </v>
      </c>
      <c r="F1907" s="14"/>
      <c r="G1907" s="120" t="e">
        <f>VLOOKUP($B1907,Information!$C$8:$F$15,4,FALSE)</f>
        <v>#N/A</v>
      </c>
      <c r="H1907" s="210" t="str">
        <f>TEXT(A1907,"ddd")</f>
        <v>Sat</v>
      </c>
    </row>
    <row r="1908" spans="1:8" x14ac:dyDescent="0.25">
      <c r="A1908" s="13"/>
      <c r="B1908" s="14"/>
      <c r="C1908" s="39"/>
      <c r="D1908" s="39"/>
      <c r="E1908" s="36" t="str">
        <f>IF(SUM(C1908:D1908)=0," ",SUM(C1908:D1908))</f>
        <v xml:space="preserve"> </v>
      </c>
      <c r="F1908" s="14"/>
      <c r="G1908" s="120" t="e">
        <f>VLOOKUP($B1908,Information!$C$8:$F$15,4,FALSE)</f>
        <v>#N/A</v>
      </c>
      <c r="H1908" s="210" t="str">
        <f>TEXT(A1908,"ddd")</f>
        <v>Sat</v>
      </c>
    </row>
    <row r="1909" spans="1:8" x14ac:dyDescent="0.25">
      <c r="A1909" s="13"/>
      <c r="B1909" s="14"/>
      <c r="C1909" s="39"/>
      <c r="D1909" s="39"/>
      <c r="E1909" s="36" t="str">
        <f>IF(SUM(C1909:D1909)=0," ",SUM(C1909:D1909))</f>
        <v xml:space="preserve"> </v>
      </c>
      <c r="F1909" s="14"/>
      <c r="G1909" s="120" t="e">
        <f>VLOOKUP($B1909,Information!$C$8:$F$15,4,FALSE)</f>
        <v>#N/A</v>
      </c>
      <c r="H1909" s="210" t="str">
        <f>TEXT(A1909,"ddd")</f>
        <v>Sat</v>
      </c>
    </row>
    <row r="1910" spans="1:8" x14ac:dyDescent="0.25">
      <c r="A1910" s="13"/>
      <c r="B1910" s="14"/>
      <c r="C1910" s="39"/>
      <c r="D1910" s="39"/>
      <c r="E1910" s="36" t="str">
        <f>IF(SUM(C1910:D1910)=0," ",SUM(C1910:D1910))</f>
        <v xml:space="preserve"> </v>
      </c>
      <c r="F1910" s="14"/>
      <c r="G1910" s="120" t="e">
        <f>VLOOKUP($B1910,Information!$C$8:$F$15,4,FALSE)</f>
        <v>#N/A</v>
      </c>
      <c r="H1910" s="210" t="str">
        <f>TEXT(A1910,"ddd")</f>
        <v>Sat</v>
      </c>
    </row>
    <row r="1911" spans="1:8" x14ac:dyDescent="0.25">
      <c r="A1911" s="13"/>
      <c r="B1911" s="14"/>
      <c r="C1911" s="39"/>
      <c r="D1911" s="39"/>
      <c r="E1911" s="36" t="str">
        <f>IF(SUM(C1911:D1911)=0," ",SUM(C1911:D1911))</f>
        <v xml:space="preserve"> </v>
      </c>
      <c r="F1911" s="14"/>
      <c r="G1911" s="120" t="e">
        <f>VLOOKUP($B1911,Information!$C$8:$F$15,4,FALSE)</f>
        <v>#N/A</v>
      </c>
      <c r="H1911" s="210" t="str">
        <f>TEXT(A1911,"ddd")</f>
        <v>Sat</v>
      </c>
    </row>
    <row r="1912" spans="1:8" x14ac:dyDescent="0.25">
      <c r="A1912" s="13"/>
      <c r="B1912" s="14"/>
      <c r="C1912" s="39"/>
      <c r="D1912" s="39"/>
      <c r="E1912" s="36" t="str">
        <f>IF(SUM(C1912:D1912)=0," ",SUM(C1912:D1912))</f>
        <v xml:space="preserve"> </v>
      </c>
      <c r="F1912" s="14"/>
      <c r="G1912" s="120" t="e">
        <f>VLOOKUP($B1912,Information!$C$8:$F$15,4,FALSE)</f>
        <v>#N/A</v>
      </c>
      <c r="H1912" s="210" t="str">
        <f>TEXT(A1912,"ddd")</f>
        <v>Sat</v>
      </c>
    </row>
    <row r="1913" spans="1:8" x14ac:dyDescent="0.25">
      <c r="A1913" s="13"/>
      <c r="B1913" s="14"/>
      <c r="C1913" s="39"/>
      <c r="D1913" s="39"/>
      <c r="E1913" s="36" t="str">
        <f>IF(SUM(C1913:D1913)=0," ",SUM(C1913:D1913))</f>
        <v xml:space="preserve"> </v>
      </c>
      <c r="F1913" s="14"/>
      <c r="G1913" s="120" t="e">
        <f>VLOOKUP($B1913,Information!$C$8:$F$15,4,FALSE)</f>
        <v>#N/A</v>
      </c>
      <c r="H1913" s="210" t="str">
        <f>TEXT(A1913,"ddd")</f>
        <v>Sat</v>
      </c>
    </row>
    <row r="1914" spans="1:8" x14ac:dyDescent="0.25">
      <c r="A1914" s="13"/>
      <c r="B1914" s="14"/>
      <c r="C1914" s="39"/>
      <c r="D1914" s="39"/>
      <c r="E1914" s="36" t="str">
        <f>IF(SUM(C1914:D1914)=0," ",SUM(C1914:D1914))</f>
        <v xml:space="preserve"> </v>
      </c>
      <c r="F1914" s="14"/>
      <c r="G1914" s="120" t="e">
        <f>VLOOKUP($B1914,Information!$C$8:$F$15,4,FALSE)</f>
        <v>#N/A</v>
      </c>
      <c r="H1914" s="210" t="str">
        <f>TEXT(A1914,"ddd")</f>
        <v>Sat</v>
      </c>
    </row>
    <row r="1915" spans="1:8" x14ac:dyDescent="0.25">
      <c r="A1915" s="13"/>
      <c r="B1915" s="14"/>
      <c r="C1915" s="39"/>
      <c r="D1915" s="39"/>
      <c r="E1915" s="36" t="str">
        <f>IF(SUM(C1915:D1915)=0," ",SUM(C1915:D1915))</f>
        <v xml:space="preserve"> </v>
      </c>
      <c r="F1915" s="14"/>
      <c r="G1915" s="120" t="e">
        <f>VLOOKUP($B1915,Information!$C$8:$F$15,4,FALSE)</f>
        <v>#N/A</v>
      </c>
      <c r="H1915" s="210" t="str">
        <f>TEXT(A1915,"ddd")</f>
        <v>Sat</v>
      </c>
    </row>
    <row r="1916" spans="1:8" x14ac:dyDescent="0.25">
      <c r="A1916" s="13"/>
      <c r="B1916" s="14"/>
      <c r="C1916" s="39"/>
      <c r="D1916" s="39"/>
      <c r="E1916" s="36" t="str">
        <f>IF(SUM(C1916:D1916)=0," ",SUM(C1916:D1916))</f>
        <v xml:space="preserve"> </v>
      </c>
      <c r="F1916" s="14"/>
      <c r="G1916" s="120" t="e">
        <f>VLOOKUP($B1916,Information!$C$8:$F$15,4,FALSE)</f>
        <v>#N/A</v>
      </c>
      <c r="H1916" s="210" t="str">
        <f>TEXT(A1916,"ddd")</f>
        <v>Sat</v>
      </c>
    </row>
    <row r="1917" spans="1:8" x14ac:dyDescent="0.25">
      <c r="A1917" s="13"/>
      <c r="B1917" s="14"/>
      <c r="C1917" s="39"/>
      <c r="D1917" s="39"/>
      <c r="E1917" s="36" t="str">
        <f>IF(SUM(C1917:D1917)=0," ",SUM(C1917:D1917))</f>
        <v xml:space="preserve"> </v>
      </c>
      <c r="F1917" s="14"/>
      <c r="G1917" s="120" t="e">
        <f>VLOOKUP($B1917,Information!$C$8:$F$15,4,FALSE)</f>
        <v>#N/A</v>
      </c>
      <c r="H1917" s="210" t="str">
        <f>TEXT(A1917,"ddd")</f>
        <v>Sat</v>
      </c>
    </row>
    <row r="1918" spans="1:8" x14ac:dyDescent="0.25">
      <c r="A1918" s="13"/>
      <c r="B1918" s="14"/>
      <c r="C1918" s="39"/>
      <c r="D1918" s="39"/>
      <c r="E1918" s="36" t="str">
        <f>IF(SUM(C1918:D1918)=0," ",SUM(C1918:D1918))</f>
        <v xml:space="preserve"> </v>
      </c>
      <c r="F1918" s="14"/>
      <c r="G1918" s="120" t="e">
        <f>VLOOKUP($B1918,Information!$C$8:$F$15,4,FALSE)</f>
        <v>#N/A</v>
      </c>
      <c r="H1918" s="210" t="str">
        <f>TEXT(A1918,"ddd")</f>
        <v>Sat</v>
      </c>
    </row>
    <row r="1919" spans="1:8" x14ac:dyDescent="0.25">
      <c r="A1919" s="13"/>
      <c r="B1919" s="14"/>
      <c r="C1919" s="39"/>
      <c r="D1919" s="39"/>
      <c r="E1919" s="36" t="str">
        <f>IF(SUM(C1919:D1919)=0," ",SUM(C1919:D1919))</f>
        <v xml:space="preserve"> </v>
      </c>
      <c r="F1919" s="14"/>
      <c r="G1919" s="120" t="e">
        <f>VLOOKUP($B1919,Information!$C$8:$F$15,4,FALSE)</f>
        <v>#N/A</v>
      </c>
      <c r="H1919" s="210" t="str">
        <f>TEXT(A1919,"ddd")</f>
        <v>Sat</v>
      </c>
    </row>
    <row r="1920" spans="1:8" x14ac:dyDescent="0.25">
      <c r="A1920" s="13"/>
      <c r="B1920" s="14"/>
      <c r="C1920" s="39"/>
      <c r="D1920" s="39"/>
      <c r="E1920" s="36" t="str">
        <f>IF(SUM(C1920:D1920)=0," ",SUM(C1920:D1920))</f>
        <v xml:space="preserve"> </v>
      </c>
      <c r="F1920" s="14"/>
      <c r="G1920" s="120" t="e">
        <f>VLOOKUP($B1920,Information!$C$8:$F$15,4,FALSE)</f>
        <v>#N/A</v>
      </c>
      <c r="H1920" s="210" t="str">
        <f>TEXT(A1920,"ddd")</f>
        <v>Sat</v>
      </c>
    </row>
    <row r="1921" spans="1:8" x14ac:dyDescent="0.25">
      <c r="A1921" s="13"/>
      <c r="B1921" s="14"/>
      <c r="C1921" s="39"/>
      <c r="D1921" s="39"/>
      <c r="E1921" s="36" t="str">
        <f>IF(SUM(C1921:D1921)=0," ",SUM(C1921:D1921))</f>
        <v xml:space="preserve"> </v>
      </c>
      <c r="F1921" s="14"/>
      <c r="G1921" s="120" t="e">
        <f>VLOOKUP($B1921,Information!$C$8:$F$15,4,FALSE)</f>
        <v>#N/A</v>
      </c>
      <c r="H1921" s="210" t="str">
        <f>TEXT(A1921,"ddd")</f>
        <v>Sat</v>
      </c>
    </row>
    <row r="1922" spans="1:8" x14ac:dyDescent="0.25">
      <c r="A1922" s="13"/>
      <c r="B1922" s="14"/>
      <c r="C1922" s="39"/>
      <c r="D1922" s="39"/>
      <c r="E1922" s="36" t="str">
        <f>IF(SUM(C1922:D1922)=0," ",SUM(C1922:D1922))</f>
        <v xml:space="preserve"> </v>
      </c>
      <c r="F1922" s="14"/>
      <c r="G1922" s="120" t="e">
        <f>VLOOKUP($B1922,Information!$C$8:$F$15,4,FALSE)</f>
        <v>#N/A</v>
      </c>
      <c r="H1922" s="210" t="str">
        <f>TEXT(A1922,"ddd")</f>
        <v>Sat</v>
      </c>
    </row>
    <row r="1923" spans="1:8" x14ac:dyDescent="0.25">
      <c r="A1923" s="13"/>
      <c r="B1923" s="14"/>
      <c r="C1923" s="39"/>
      <c r="D1923" s="39"/>
      <c r="E1923" s="36" t="str">
        <f>IF(SUM(C1923:D1923)=0," ",SUM(C1923:D1923))</f>
        <v xml:space="preserve"> </v>
      </c>
      <c r="F1923" s="14"/>
      <c r="G1923" s="120" t="e">
        <f>VLOOKUP($B1923,Information!$C$8:$F$15,4,FALSE)</f>
        <v>#N/A</v>
      </c>
      <c r="H1923" s="210" t="str">
        <f>TEXT(A1923,"ddd")</f>
        <v>Sat</v>
      </c>
    </row>
    <row r="1924" spans="1:8" x14ac:dyDescent="0.25">
      <c r="A1924" s="13"/>
      <c r="B1924" s="14"/>
      <c r="C1924" s="39"/>
      <c r="D1924" s="39"/>
      <c r="E1924" s="36" t="str">
        <f>IF(SUM(C1924:D1924)=0," ",SUM(C1924:D1924))</f>
        <v xml:space="preserve"> </v>
      </c>
      <c r="F1924" s="14"/>
      <c r="G1924" s="120" t="e">
        <f>VLOOKUP($B1924,Information!$C$8:$F$15,4,FALSE)</f>
        <v>#N/A</v>
      </c>
      <c r="H1924" s="210" t="str">
        <f>TEXT(A1924,"ddd")</f>
        <v>Sat</v>
      </c>
    </row>
    <row r="1925" spans="1:8" x14ac:dyDescent="0.25">
      <c r="A1925" s="13"/>
      <c r="B1925" s="14"/>
      <c r="C1925" s="39"/>
      <c r="D1925" s="39"/>
      <c r="E1925" s="36" t="str">
        <f>IF(SUM(C1925:D1925)=0," ",SUM(C1925:D1925))</f>
        <v xml:space="preserve"> </v>
      </c>
      <c r="F1925" s="14"/>
      <c r="G1925" s="120" t="e">
        <f>VLOOKUP($B1925,Information!$C$8:$F$15,4,FALSE)</f>
        <v>#N/A</v>
      </c>
      <c r="H1925" s="210" t="str">
        <f>TEXT(A1925,"ddd")</f>
        <v>Sat</v>
      </c>
    </row>
    <row r="1926" spans="1:8" x14ac:dyDescent="0.25">
      <c r="A1926" s="13"/>
      <c r="B1926" s="14"/>
      <c r="C1926" s="39"/>
      <c r="D1926" s="39"/>
      <c r="E1926" s="36" t="str">
        <f>IF(SUM(C1926:D1926)=0," ",SUM(C1926:D1926))</f>
        <v xml:space="preserve"> </v>
      </c>
      <c r="F1926" s="14"/>
      <c r="G1926" s="120" t="e">
        <f>VLOOKUP($B1926,Information!$C$8:$F$15,4,FALSE)</f>
        <v>#N/A</v>
      </c>
      <c r="H1926" s="210" t="str">
        <f>TEXT(A1926,"ddd")</f>
        <v>Sat</v>
      </c>
    </row>
    <row r="1927" spans="1:8" x14ac:dyDescent="0.25">
      <c r="A1927" s="13"/>
      <c r="B1927" s="14"/>
      <c r="C1927" s="39"/>
      <c r="D1927" s="39"/>
      <c r="E1927" s="36" t="str">
        <f>IF(SUM(C1927:D1927)=0," ",SUM(C1927:D1927))</f>
        <v xml:space="preserve"> </v>
      </c>
      <c r="F1927" s="14"/>
      <c r="G1927" s="120" t="e">
        <f>VLOOKUP($B1927,Information!$C$8:$F$15,4,FALSE)</f>
        <v>#N/A</v>
      </c>
      <c r="H1927" s="210" t="str">
        <f>TEXT(A1927,"ddd")</f>
        <v>Sat</v>
      </c>
    </row>
    <row r="1928" spans="1:8" x14ac:dyDescent="0.25">
      <c r="A1928" s="13"/>
      <c r="B1928" s="14"/>
      <c r="C1928" s="39"/>
      <c r="D1928" s="39"/>
      <c r="E1928" s="36" t="str">
        <f>IF(SUM(C1928:D1928)=0," ",SUM(C1928:D1928))</f>
        <v xml:space="preserve"> </v>
      </c>
      <c r="F1928" s="14"/>
      <c r="G1928" s="120" t="e">
        <f>VLOOKUP($B1928,Information!$C$8:$F$15,4,FALSE)</f>
        <v>#N/A</v>
      </c>
      <c r="H1928" s="210" t="str">
        <f>TEXT(A1928,"ddd")</f>
        <v>Sat</v>
      </c>
    </row>
    <row r="1929" spans="1:8" x14ac:dyDescent="0.25">
      <c r="A1929" s="13"/>
      <c r="B1929" s="14"/>
      <c r="C1929" s="39"/>
      <c r="D1929" s="39"/>
      <c r="E1929" s="36" t="str">
        <f>IF(SUM(C1929:D1929)=0," ",SUM(C1929:D1929))</f>
        <v xml:space="preserve"> </v>
      </c>
      <c r="F1929" s="14"/>
      <c r="G1929" s="120" t="e">
        <f>VLOOKUP($B1929,Information!$C$8:$F$15,4,FALSE)</f>
        <v>#N/A</v>
      </c>
      <c r="H1929" s="210" t="str">
        <f>TEXT(A1929,"ddd")</f>
        <v>Sat</v>
      </c>
    </row>
    <row r="1930" spans="1:8" x14ac:dyDescent="0.25">
      <c r="A1930" s="13"/>
      <c r="B1930" s="14"/>
      <c r="C1930" s="39"/>
      <c r="D1930" s="39"/>
      <c r="E1930" s="36" t="str">
        <f>IF(SUM(C1930:D1930)=0," ",SUM(C1930:D1930))</f>
        <v xml:space="preserve"> </v>
      </c>
      <c r="F1930" s="14"/>
      <c r="G1930" s="120" t="e">
        <f>VLOOKUP($B1930,Information!$C$8:$F$15,4,FALSE)</f>
        <v>#N/A</v>
      </c>
      <c r="H1930" s="210" t="str">
        <f>TEXT(A1930,"ddd")</f>
        <v>Sat</v>
      </c>
    </row>
    <row r="1931" spans="1:8" x14ac:dyDescent="0.25">
      <c r="A1931" s="13"/>
      <c r="B1931" s="14"/>
      <c r="C1931" s="39"/>
      <c r="D1931" s="39"/>
      <c r="E1931" s="36" t="str">
        <f>IF(SUM(C1931:D1931)=0," ",SUM(C1931:D1931))</f>
        <v xml:space="preserve"> </v>
      </c>
      <c r="F1931" s="14"/>
      <c r="G1931" s="120" t="e">
        <f>VLOOKUP($B1931,Information!$C$8:$F$15,4,FALSE)</f>
        <v>#N/A</v>
      </c>
      <c r="H1931" s="210" t="str">
        <f>TEXT(A1931,"ddd")</f>
        <v>Sat</v>
      </c>
    </row>
    <row r="1932" spans="1:8" x14ac:dyDescent="0.25">
      <c r="A1932" s="13"/>
      <c r="B1932" s="14"/>
      <c r="C1932" s="39"/>
      <c r="D1932" s="39"/>
      <c r="E1932" s="36" t="str">
        <f>IF(SUM(C1932:D1932)=0," ",SUM(C1932:D1932))</f>
        <v xml:space="preserve"> </v>
      </c>
      <c r="F1932" s="14"/>
      <c r="G1932" s="120" t="e">
        <f>VLOOKUP($B1932,Information!$C$8:$F$15,4,FALSE)</f>
        <v>#N/A</v>
      </c>
      <c r="H1932" s="210" t="str">
        <f>TEXT(A1932,"ddd")</f>
        <v>Sat</v>
      </c>
    </row>
    <row r="1933" spans="1:8" x14ac:dyDescent="0.25">
      <c r="A1933" s="13"/>
      <c r="B1933" s="14"/>
      <c r="C1933" s="39"/>
      <c r="D1933" s="39"/>
      <c r="E1933" s="36" t="str">
        <f>IF(SUM(C1933:D1933)=0," ",SUM(C1933:D1933))</f>
        <v xml:space="preserve"> </v>
      </c>
      <c r="F1933" s="14"/>
      <c r="G1933" s="120" t="e">
        <f>VLOOKUP($B1933,Information!$C$8:$F$15,4,FALSE)</f>
        <v>#N/A</v>
      </c>
      <c r="H1933" s="210" t="str">
        <f>TEXT(A1933,"ddd")</f>
        <v>Sat</v>
      </c>
    </row>
    <row r="1934" spans="1:8" x14ac:dyDescent="0.25">
      <c r="A1934" s="13"/>
      <c r="B1934" s="14"/>
      <c r="C1934" s="39"/>
      <c r="D1934" s="39"/>
      <c r="E1934" s="36" t="str">
        <f>IF(SUM(C1934:D1934)=0," ",SUM(C1934:D1934))</f>
        <v xml:space="preserve"> </v>
      </c>
      <c r="F1934" s="14"/>
      <c r="G1934" s="120" t="e">
        <f>VLOOKUP($B1934,Information!$C$8:$F$15,4,FALSE)</f>
        <v>#N/A</v>
      </c>
      <c r="H1934" s="210" t="str">
        <f>TEXT(A1934,"ddd")</f>
        <v>Sat</v>
      </c>
    </row>
    <row r="1935" spans="1:8" x14ac:dyDescent="0.25">
      <c r="A1935" s="13"/>
      <c r="B1935" s="14"/>
      <c r="C1935" s="39"/>
      <c r="D1935" s="39"/>
      <c r="E1935" s="36" t="str">
        <f>IF(SUM(C1935:D1935)=0," ",SUM(C1935:D1935))</f>
        <v xml:space="preserve"> </v>
      </c>
      <c r="F1935" s="14"/>
      <c r="G1935" s="120" t="e">
        <f>VLOOKUP($B1935,Information!$C$8:$F$15,4,FALSE)</f>
        <v>#N/A</v>
      </c>
      <c r="H1935" s="210" t="str">
        <f>TEXT(A1935,"ddd")</f>
        <v>Sat</v>
      </c>
    </row>
    <row r="1936" spans="1:8" x14ac:dyDescent="0.25">
      <c r="A1936" s="13"/>
      <c r="B1936" s="14"/>
      <c r="C1936" s="39"/>
      <c r="D1936" s="39"/>
      <c r="E1936" s="36" t="str">
        <f>IF(SUM(C1936:D1936)=0," ",SUM(C1936:D1936))</f>
        <v xml:space="preserve"> </v>
      </c>
      <c r="F1936" s="14"/>
      <c r="G1936" s="120" t="e">
        <f>VLOOKUP($B1936,Information!$C$8:$F$15,4,FALSE)</f>
        <v>#N/A</v>
      </c>
      <c r="H1936" s="210" t="str">
        <f>TEXT(A1936,"ddd")</f>
        <v>Sat</v>
      </c>
    </row>
    <row r="1937" spans="1:8" x14ac:dyDescent="0.25">
      <c r="A1937" s="13"/>
      <c r="B1937" s="14"/>
      <c r="C1937" s="39"/>
      <c r="D1937" s="39"/>
      <c r="E1937" s="36" t="str">
        <f>IF(SUM(C1937:D1937)=0," ",SUM(C1937:D1937))</f>
        <v xml:space="preserve"> </v>
      </c>
      <c r="F1937" s="14"/>
      <c r="G1937" s="120" t="e">
        <f>VLOOKUP($B1937,Information!$C$8:$F$15,4,FALSE)</f>
        <v>#N/A</v>
      </c>
      <c r="H1937" s="210" t="str">
        <f>TEXT(A1937,"ddd")</f>
        <v>Sat</v>
      </c>
    </row>
    <row r="1938" spans="1:8" x14ac:dyDescent="0.25">
      <c r="A1938" s="13"/>
      <c r="B1938" s="14"/>
      <c r="C1938" s="39"/>
      <c r="D1938" s="39"/>
      <c r="E1938" s="36" t="str">
        <f>IF(SUM(C1938:D1938)=0," ",SUM(C1938:D1938))</f>
        <v xml:space="preserve"> </v>
      </c>
      <c r="F1938" s="14"/>
      <c r="G1938" s="120" t="e">
        <f>VLOOKUP($B1938,Information!$C$8:$F$15,4,FALSE)</f>
        <v>#N/A</v>
      </c>
      <c r="H1938" s="210" t="str">
        <f>TEXT(A1938,"ddd")</f>
        <v>Sat</v>
      </c>
    </row>
    <row r="1939" spans="1:8" x14ac:dyDescent="0.25">
      <c r="A1939" s="13"/>
      <c r="B1939" s="14"/>
      <c r="C1939" s="39"/>
      <c r="D1939" s="39"/>
      <c r="E1939" s="36" t="str">
        <f>IF(SUM(C1939:D1939)=0," ",SUM(C1939:D1939))</f>
        <v xml:space="preserve"> </v>
      </c>
      <c r="F1939" s="14"/>
      <c r="G1939" s="120" t="e">
        <f>VLOOKUP($B1939,Information!$C$8:$F$15,4,FALSE)</f>
        <v>#N/A</v>
      </c>
      <c r="H1939" s="210" t="str">
        <f>TEXT(A1939,"ddd")</f>
        <v>Sat</v>
      </c>
    </row>
    <row r="1940" spans="1:8" x14ac:dyDescent="0.25">
      <c r="A1940" s="13"/>
      <c r="B1940" s="14"/>
      <c r="C1940" s="39"/>
      <c r="D1940" s="39"/>
      <c r="E1940" s="36" t="str">
        <f>IF(SUM(C1940:D1940)=0," ",SUM(C1940:D1940))</f>
        <v xml:space="preserve"> </v>
      </c>
      <c r="F1940" s="14"/>
      <c r="G1940" s="120" t="e">
        <f>VLOOKUP($B1940,Information!$C$8:$F$15,4,FALSE)</f>
        <v>#N/A</v>
      </c>
      <c r="H1940" s="210" t="str">
        <f>TEXT(A1940,"ddd")</f>
        <v>Sat</v>
      </c>
    </row>
    <row r="1941" spans="1:8" x14ac:dyDescent="0.25">
      <c r="A1941" s="13"/>
      <c r="B1941" s="14"/>
      <c r="C1941" s="39"/>
      <c r="D1941" s="39"/>
      <c r="E1941" s="36" t="str">
        <f>IF(SUM(C1941:D1941)=0," ",SUM(C1941:D1941))</f>
        <v xml:space="preserve"> </v>
      </c>
      <c r="F1941" s="14"/>
      <c r="G1941" s="120" t="e">
        <f>VLOOKUP($B1941,Information!$C$8:$F$15,4,FALSE)</f>
        <v>#N/A</v>
      </c>
      <c r="H1941" s="210" t="str">
        <f>TEXT(A1941,"ddd")</f>
        <v>Sat</v>
      </c>
    </row>
    <row r="1942" spans="1:8" x14ac:dyDescent="0.25">
      <c r="A1942" s="13"/>
      <c r="B1942" s="14"/>
      <c r="C1942" s="39"/>
      <c r="D1942" s="39"/>
      <c r="E1942" s="36" t="str">
        <f>IF(SUM(C1942:D1942)=0," ",SUM(C1942:D1942))</f>
        <v xml:space="preserve"> </v>
      </c>
      <c r="F1942" s="14"/>
      <c r="G1942" s="120" t="e">
        <f>VLOOKUP($B1942,Information!$C$8:$F$15,4,FALSE)</f>
        <v>#N/A</v>
      </c>
      <c r="H1942" s="210" t="str">
        <f>TEXT(A1942,"ddd")</f>
        <v>Sat</v>
      </c>
    </row>
    <row r="1943" spans="1:8" x14ac:dyDescent="0.25">
      <c r="A1943" s="13"/>
      <c r="B1943" s="14"/>
      <c r="C1943" s="39"/>
      <c r="D1943" s="39"/>
      <c r="E1943" s="36" t="str">
        <f>IF(SUM(C1943:D1943)=0," ",SUM(C1943:D1943))</f>
        <v xml:space="preserve"> </v>
      </c>
      <c r="F1943" s="14"/>
      <c r="G1943" s="120" t="e">
        <f>VLOOKUP($B1943,Information!$C$8:$F$15,4,FALSE)</f>
        <v>#N/A</v>
      </c>
      <c r="H1943" s="210" t="str">
        <f>TEXT(A1943,"ddd")</f>
        <v>Sat</v>
      </c>
    </row>
    <row r="1944" spans="1:8" x14ac:dyDescent="0.25">
      <c r="A1944" s="13"/>
      <c r="B1944" s="14"/>
      <c r="C1944" s="39"/>
      <c r="D1944" s="39"/>
      <c r="E1944" s="36" t="str">
        <f>IF(SUM(C1944:D1944)=0," ",SUM(C1944:D1944))</f>
        <v xml:space="preserve"> </v>
      </c>
      <c r="F1944" s="14"/>
      <c r="G1944" s="120" t="e">
        <f>VLOOKUP($B1944,Information!$C$8:$F$15,4,FALSE)</f>
        <v>#N/A</v>
      </c>
      <c r="H1944" s="210" t="str">
        <f>TEXT(A1944,"ddd")</f>
        <v>Sat</v>
      </c>
    </row>
    <row r="1945" spans="1:8" x14ac:dyDescent="0.25">
      <c r="A1945" s="13"/>
      <c r="B1945" s="14"/>
      <c r="C1945" s="39"/>
      <c r="D1945" s="39"/>
      <c r="E1945" s="36" t="str">
        <f>IF(SUM(C1945:D1945)=0," ",SUM(C1945:D1945))</f>
        <v xml:space="preserve"> </v>
      </c>
      <c r="F1945" s="14"/>
      <c r="G1945" s="120" t="e">
        <f>VLOOKUP($B1945,Information!$C$8:$F$15,4,FALSE)</f>
        <v>#N/A</v>
      </c>
      <c r="H1945" s="210" t="str">
        <f>TEXT(A1945,"ddd")</f>
        <v>Sat</v>
      </c>
    </row>
    <row r="1946" spans="1:8" x14ac:dyDescent="0.25">
      <c r="A1946" s="13"/>
      <c r="B1946" s="14"/>
      <c r="C1946" s="39"/>
      <c r="D1946" s="39"/>
      <c r="E1946" s="36" t="str">
        <f>IF(SUM(C1946:D1946)=0," ",SUM(C1946:D1946))</f>
        <v xml:space="preserve"> </v>
      </c>
      <c r="F1946" s="14"/>
      <c r="G1946" s="120" t="e">
        <f>VLOOKUP($B1946,Information!$C$8:$F$15,4,FALSE)</f>
        <v>#N/A</v>
      </c>
      <c r="H1946" s="210" t="str">
        <f>TEXT(A1946,"ddd")</f>
        <v>Sat</v>
      </c>
    </row>
    <row r="1947" spans="1:8" x14ac:dyDescent="0.25">
      <c r="A1947" s="13"/>
      <c r="B1947" s="14"/>
      <c r="C1947" s="39"/>
      <c r="D1947" s="39"/>
      <c r="E1947" s="36" t="str">
        <f>IF(SUM(C1947:D1947)=0," ",SUM(C1947:D1947))</f>
        <v xml:space="preserve"> </v>
      </c>
      <c r="F1947" s="14"/>
      <c r="G1947" s="120" t="e">
        <f>VLOOKUP($B1947,Information!$C$8:$F$15,4,FALSE)</f>
        <v>#N/A</v>
      </c>
      <c r="H1947" s="210" t="str">
        <f>TEXT(A1947,"ddd")</f>
        <v>Sat</v>
      </c>
    </row>
    <row r="1948" spans="1:8" x14ac:dyDescent="0.25">
      <c r="A1948" s="13"/>
      <c r="B1948" s="14"/>
      <c r="C1948" s="39"/>
      <c r="D1948" s="39"/>
      <c r="E1948" s="36" t="str">
        <f>IF(SUM(C1948:D1948)=0," ",SUM(C1948:D1948))</f>
        <v xml:space="preserve"> </v>
      </c>
      <c r="F1948" s="14"/>
      <c r="G1948" s="120" t="e">
        <f>VLOOKUP($B1948,Information!$C$8:$F$15,4,FALSE)</f>
        <v>#N/A</v>
      </c>
      <c r="H1948" s="210" t="str">
        <f>TEXT(A1948,"ddd")</f>
        <v>Sat</v>
      </c>
    </row>
    <row r="1949" spans="1:8" x14ac:dyDescent="0.25">
      <c r="A1949" s="13"/>
      <c r="B1949" s="14"/>
      <c r="C1949" s="39"/>
      <c r="D1949" s="39"/>
      <c r="E1949" s="36" t="str">
        <f>IF(SUM(C1949:D1949)=0," ",SUM(C1949:D1949))</f>
        <v xml:space="preserve"> </v>
      </c>
      <c r="F1949" s="14"/>
      <c r="G1949" s="120" t="e">
        <f>VLOOKUP($B1949,Information!$C$8:$F$15,4,FALSE)</f>
        <v>#N/A</v>
      </c>
      <c r="H1949" s="210" t="str">
        <f>TEXT(A1949,"ddd")</f>
        <v>Sat</v>
      </c>
    </row>
    <row r="1950" spans="1:8" x14ac:dyDescent="0.25">
      <c r="A1950" s="13"/>
      <c r="B1950" s="14"/>
      <c r="C1950" s="39"/>
      <c r="D1950" s="39"/>
      <c r="E1950" s="36" t="str">
        <f>IF(SUM(C1950:D1950)=0," ",SUM(C1950:D1950))</f>
        <v xml:space="preserve"> </v>
      </c>
      <c r="F1950" s="14"/>
      <c r="G1950" s="120" t="e">
        <f>VLOOKUP($B1950,Information!$C$8:$F$15,4,FALSE)</f>
        <v>#N/A</v>
      </c>
      <c r="H1950" s="210" t="str">
        <f>TEXT(A1950,"ddd")</f>
        <v>Sat</v>
      </c>
    </row>
    <row r="1951" spans="1:8" x14ac:dyDescent="0.25">
      <c r="A1951" s="13"/>
      <c r="B1951" s="14"/>
      <c r="C1951" s="39"/>
      <c r="D1951" s="39"/>
      <c r="E1951" s="36" t="str">
        <f>IF(SUM(C1951:D1951)=0," ",SUM(C1951:D1951))</f>
        <v xml:space="preserve"> </v>
      </c>
      <c r="F1951" s="14"/>
      <c r="G1951" s="120" t="e">
        <f>VLOOKUP($B1951,Information!$C$8:$F$15,4,FALSE)</f>
        <v>#N/A</v>
      </c>
      <c r="H1951" s="210" t="str">
        <f>TEXT(A1951,"ddd")</f>
        <v>Sat</v>
      </c>
    </row>
    <row r="1952" spans="1:8" x14ac:dyDescent="0.25">
      <c r="A1952" s="13"/>
      <c r="B1952" s="14"/>
      <c r="C1952" s="39"/>
      <c r="D1952" s="39"/>
      <c r="E1952" s="36" t="str">
        <f>IF(SUM(C1952:D1952)=0," ",SUM(C1952:D1952))</f>
        <v xml:space="preserve"> </v>
      </c>
      <c r="F1952" s="14"/>
      <c r="G1952" s="120" t="e">
        <f>VLOOKUP($B1952,Information!$C$8:$F$15,4,FALSE)</f>
        <v>#N/A</v>
      </c>
      <c r="H1952" s="210" t="str">
        <f>TEXT(A1952,"ddd")</f>
        <v>Sat</v>
      </c>
    </row>
    <row r="1953" spans="1:8" x14ac:dyDescent="0.25">
      <c r="A1953" s="13"/>
      <c r="B1953" s="14"/>
      <c r="C1953" s="39"/>
      <c r="D1953" s="39"/>
      <c r="E1953" s="36" t="str">
        <f>IF(SUM(C1953:D1953)=0," ",SUM(C1953:D1953))</f>
        <v xml:space="preserve"> </v>
      </c>
      <c r="F1953" s="14"/>
      <c r="G1953" s="120" t="e">
        <f>VLOOKUP($B1953,Information!$C$8:$F$15,4,FALSE)</f>
        <v>#N/A</v>
      </c>
      <c r="H1953" s="210" t="str">
        <f>TEXT(A1953,"ddd")</f>
        <v>Sat</v>
      </c>
    </row>
    <row r="1954" spans="1:8" x14ac:dyDescent="0.25">
      <c r="A1954" s="13"/>
      <c r="B1954" s="14"/>
      <c r="C1954" s="39"/>
      <c r="D1954" s="39"/>
      <c r="E1954" s="36" t="str">
        <f>IF(SUM(C1954:D1954)=0," ",SUM(C1954:D1954))</f>
        <v xml:space="preserve"> </v>
      </c>
      <c r="F1954" s="14"/>
      <c r="G1954" s="120" t="e">
        <f>VLOOKUP($B1954,Information!$C$8:$F$15,4,FALSE)</f>
        <v>#N/A</v>
      </c>
      <c r="H1954" s="210" t="str">
        <f>TEXT(A1954,"ddd")</f>
        <v>Sat</v>
      </c>
    </row>
    <row r="1955" spans="1:8" x14ac:dyDescent="0.25">
      <c r="A1955" s="13"/>
      <c r="B1955" s="14"/>
      <c r="C1955" s="39"/>
      <c r="D1955" s="39"/>
      <c r="E1955" s="36" t="str">
        <f>IF(SUM(C1955:D1955)=0," ",SUM(C1955:D1955))</f>
        <v xml:space="preserve"> </v>
      </c>
      <c r="F1955" s="14"/>
      <c r="G1955" s="120" t="e">
        <f>VLOOKUP($B1955,Information!$C$8:$F$15,4,FALSE)</f>
        <v>#N/A</v>
      </c>
      <c r="H1955" s="210" t="str">
        <f>TEXT(A1955,"ddd")</f>
        <v>Sat</v>
      </c>
    </row>
    <row r="1956" spans="1:8" x14ac:dyDescent="0.25">
      <c r="A1956" s="13"/>
      <c r="B1956" s="14"/>
      <c r="C1956" s="39"/>
      <c r="D1956" s="39"/>
      <c r="E1956" s="36" t="str">
        <f>IF(SUM(C1956:D1956)=0," ",SUM(C1956:D1956))</f>
        <v xml:space="preserve"> </v>
      </c>
      <c r="F1956" s="14"/>
      <c r="G1956" s="120" t="e">
        <f>VLOOKUP($B1956,Information!$C$8:$F$15,4,FALSE)</f>
        <v>#N/A</v>
      </c>
      <c r="H1956" s="210" t="str">
        <f>TEXT(A1956,"ddd")</f>
        <v>Sat</v>
      </c>
    </row>
    <row r="1957" spans="1:8" x14ac:dyDescent="0.25">
      <c r="A1957" s="13"/>
      <c r="B1957" s="14"/>
      <c r="C1957" s="39"/>
      <c r="D1957" s="39"/>
      <c r="E1957" s="36" t="str">
        <f>IF(SUM(C1957:D1957)=0," ",SUM(C1957:D1957))</f>
        <v xml:space="preserve"> </v>
      </c>
      <c r="F1957" s="14"/>
      <c r="G1957" s="120" t="e">
        <f>VLOOKUP($B1957,Information!$C$8:$F$15,4,FALSE)</f>
        <v>#N/A</v>
      </c>
      <c r="H1957" s="210" t="str">
        <f>TEXT(A1957,"ddd")</f>
        <v>Sat</v>
      </c>
    </row>
    <row r="1958" spans="1:8" x14ac:dyDescent="0.25">
      <c r="A1958" s="13"/>
      <c r="B1958" s="14"/>
      <c r="C1958" s="39"/>
      <c r="D1958" s="39"/>
      <c r="E1958" s="36" t="str">
        <f>IF(SUM(C1958:D1958)=0," ",SUM(C1958:D1958))</f>
        <v xml:space="preserve"> </v>
      </c>
      <c r="F1958" s="14"/>
      <c r="G1958" s="120" t="e">
        <f>VLOOKUP($B1958,Information!$C$8:$F$15,4,FALSE)</f>
        <v>#N/A</v>
      </c>
      <c r="H1958" s="210" t="str">
        <f>TEXT(A1958,"ddd")</f>
        <v>Sat</v>
      </c>
    </row>
    <row r="1959" spans="1:8" x14ac:dyDescent="0.25">
      <c r="A1959" s="13"/>
      <c r="B1959" s="14"/>
      <c r="C1959" s="39"/>
      <c r="D1959" s="39"/>
      <c r="E1959" s="36" t="str">
        <f>IF(SUM(C1959:D1959)=0," ",SUM(C1959:D1959))</f>
        <v xml:space="preserve"> </v>
      </c>
      <c r="F1959" s="14"/>
      <c r="G1959" s="120" t="e">
        <f>VLOOKUP($B1959,Information!$C$8:$F$15,4,FALSE)</f>
        <v>#N/A</v>
      </c>
      <c r="H1959" s="210" t="str">
        <f>TEXT(A1959,"ddd")</f>
        <v>Sat</v>
      </c>
    </row>
    <row r="1960" spans="1:8" x14ac:dyDescent="0.25">
      <c r="A1960" s="13"/>
      <c r="B1960" s="14"/>
      <c r="C1960" s="39"/>
      <c r="D1960" s="39"/>
      <c r="E1960" s="36" t="str">
        <f>IF(SUM(C1960:D1960)=0," ",SUM(C1960:D1960))</f>
        <v xml:space="preserve"> </v>
      </c>
      <c r="F1960" s="14"/>
      <c r="G1960" s="120" t="e">
        <f>VLOOKUP($B1960,Information!$C$8:$F$15,4,FALSE)</f>
        <v>#N/A</v>
      </c>
      <c r="H1960" s="210" t="str">
        <f>TEXT(A1960,"ddd")</f>
        <v>Sat</v>
      </c>
    </row>
    <row r="1961" spans="1:8" x14ac:dyDescent="0.25">
      <c r="A1961" s="13"/>
      <c r="B1961" s="14"/>
      <c r="C1961" s="39"/>
      <c r="D1961" s="39"/>
      <c r="E1961" s="36" t="str">
        <f>IF(SUM(C1961:D1961)=0," ",SUM(C1961:D1961))</f>
        <v xml:space="preserve"> </v>
      </c>
      <c r="F1961" s="14"/>
      <c r="G1961" s="120" t="e">
        <f>VLOOKUP($B1961,Information!$C$8:$F$15,4,FALSE)</f>
        <v>#N/A</v>
      </c>
      <c r="H1961" s="210" t="str">
        <f>TEXT(A1961,"ddd")</f>
        <v>Sat</v>
      </c>
    </row>
    <row r="1962" spans="1:8" x14ac:dyDescent="0.25">
      <c r="A1962" s="13"/>
      <c r="B1962" s="14"/>
      <c r="C1962" s="39"/>
      <c r="D1962" s="39"/>
      <c r="E1962" s="36" t="str">
        <f>IF(SUM(C1962:D1962)=0," ",SUM(C1962:D1962))</f>
        <v xml:space="preserve"> </v>
      </c>
      <c r="F1962" s="14"/>
      <c r="G1962" s="120" t="e">
        <f>VLOOKUP($B1962,Information!$C$8:$F$15,4,FALSE)</f>
        <v>#N/A</v>
      </c>
      <c r="H1962" s="210" t="str">
        <f>TEXT(A1962,"ddd")</f>
        <v>Sat</v>
      </c>
    </row>
    <row r="1963" spans="1:8" x14ac:dyDescent="0.25">
      <c r="A1963" s="13"/>
      <c r="B1963" s="14"/>
      <c r="C1963" s="39"/>
      <c r="D1963" s="39"/>
      <c r="E1963" s="36" t="str">
        <f>IF(SUM(C1963:D1963)=0," ",SUM(C1963:D1963))</f>
        <v xml:space="preserve"> </v>
      </c>
      <c r="F1963" s="14"/>
      <c r="G1963" s="120" t="e">
        <f>VLOOKUP($B1963,Information!$C$8:$F$15,4,FALSE)</f>
        <v>#N/A</v>
      </c>
      <c r="H1963" s="210" t="str">
        <f>TEXT(A1963,"ddd")</f>
        <v>Sat</v>
      </c>
    </row>
    <row r="1964" spans="1:8" x14ac:dyDescent="0.25">
      <c r="A1964" s="13"/>
      <c r="B1964" s="14"/>
      <c r="C1964" s="39"/>
      <c r="D1964" s="39"/>
      <c r="E1964" s="36" t="str">
        <f>IF(SUM(C1964:D1964)=0," ",SUM(C1964:D1964))</f>
        <v xml:space="preserve"> </v>
      </c>
      <c r="F1964" s="14"/>
      <c r="G1964" s="120" t="e">
        <f>VLOOKUP($B1964,Information!$C$8:$F$15,4,FALSE)</f>
        <v>#N/A</v>
      </c>
      <c r="H1964" s="210" t="str">
        <f>TEXT(A1964,"ddd")</f>
        <v>Sat</v>
      </c>
    </row>
    <row r="1965" spans="1:8" x14ac:dyDescent="0.25">
      <c r="A1965" s="13"/>
      <c r="B1965" s="14"/>
      <c r="C1965" s="39"/>
      <c r="D1965" s="39"/>
      <c r="E1965" s="36" t="str">
        <f>IF(SUM(C1965:D1965)=0," ",SUM(C1965:D1965))</f>
        <v xml:space="preserve"> </v>
      </c>
      <c r="F1965" s="14"/>
      <c r="G1965" s="120" t="e">
        <f>VLOOKUP($B1965,Information!$C$8:$F$15,4,FALSE)</f>
        <v>#N/A</v>
      </c>
      <c r="H1965" s="210" t="str">
        <f>TEXT(A1965,"ddd")</f>
        <v>Sat</v>
      </c>
    </row>
    <row r="1966" spans="1:8" x14ac:dyDescent="0.25">
      <c r="A1966" s="13"/>
      <c r="B1966" s="14"/>
      <c r="C1966" s="39"/>
      <c r="D1966" s="39"/>
      <c r="E1966" s="36" t="str">
        <f>IF(SUM(C1966:D1966)=0," ",SUM(C1966:D1966))</f>
        <v xml:space="preserve"> </v>
      </c>
      <c r="F1966" s="14"/>
      <c r="G1966" s="120" t="e">
        <f>VLOOKUP($B1966,Information!$C$8:$F$15,4,FALSE)</f>
        <v>#N/A</v>
      </c>
      <c r="H1966" s="210" t="str">
        <f>TEXT(A1966,"ddd")</f>
        <v>Sat</v>
      </c>
    </row>
    <row r="1967" spans="1:8" x14ac:dyDescent="0.25">
      <c r="A1967" s="13"/>
      <c r="B1967" s="14"/>
      <c r="C1967" s="39"/>
      <c r="D1967" s="39"/>
      <c r="E1967" s="36" t="str">
        <f>IF(SUM(C1967:D1967)=0," ",SUM(C1967:D1967))</f>
        <v xml:space="preserve"> </v>
      </c>
      <c r="F1967" s="14"/>
      <c r="G1967" s="120" t="e">
        <f>VLOOKUP($B1967,Information!$C$8:$F$15,4,FALSE)</f>
        <v>#N/A</v>
      </c>
      <c r="H1967" s="210" t="str">
        <f>TEXT(A1967,"ddd")</f>
        <v>Sat</v>
      </c>
    </row>
    <row r="1968" spans="1:8" x14ac:dyDescent="0.25">
      <c r="A1968" s="13"/>
      <c r="B1968" s="14"/>
      <c r="C1968" s="39"/>
      <c r="D1968" s="39"/>
      <c r="E1968" s="36" t="str">
        <f>IF(SUM(C1968:D1968)=0," ",SUM(C1968:D1968))</f>
        <v xml:space="preserve"> </v>
      </c>
      <c r="F1968" s="14"/>
      <c r="G1968" s="120" t="e">
        <f>VLOOKUP($B1968,Information!$C$8:$F$15,4,FALSE)</f>
        <v>#N/A</v>
      </c>
      <c r="H1968" s="210" t="str">
        <f>TEXT(A1968,"ddd")</f>
        <v>Sat</v>
      </c>
    </row>
    <row r="1969" spans="1:8" x14ac:dyDescent="0.25">
      <c r="A1969" s="13"/>
      <c r="B1969" s="14"/>
      <c r="C1969" s="39"/>
      <c r="D1969" s="39"/>
      <c r="E1969" s="36" t="str">
        <f>IF(SUM(C1969:D1969)=0," ",SUM(C1969:D1969))</f>
        <v xml:space="preserve"> </v>
      </c>
      <c r="F1969" s="14"/>
      <c r="G1969" s="120" t="e">
        <f>VLOOKUP($B1969,Information!$C$8:$F$15,4,FALSE)</f>
        <v>#N/A</v>
      </c>
      <c r="H1969" s="210" t="str">
        <f>TEXT(A1969,"ddd")</f>
        <v>Sat</v>
      </c>
    </row>
    <row r="1970" spans="1:8" x14ac:dyDescent="0.25">
      <c r="A1970" s="13"/>
      <c r="B1970" s="14"/>
      <c r="C1970" s="39"/>
      <c r="D1970" s="39"/>
      <c r="E1970" s="36" t="str">
        <f>IF(SUM(C1970:D1970)=0," ",SUM(C1970:D1970))</f>
        <v xml:space="preserve"> </v>
      </c>
      <c r="F1970" s="14"/>
      <c r="G1970" s="120" t="e">
        <f>VLOOKUP($B1970,Information!$C$8:$F$15,4,FALSE)</f>
        <v>#N/A</v>
      </c>
      <c r="H1970" s="210" t="str">
        <f>TEXT(A1970,"ddd")</f>
        <v>Sat</v>
      </c>
    </row>
    <row r="1971" spans="1:8" x14ac:dyDescent="0.25">
      <c r="A1971" s="13"/>
      <c r="B1971" s="14"/>
      <c r="C1971" s="39"/>
      <c r="D1971" s="39"/>
      <c r="E1971" s="36" t="str">
        <f>IF(SUM(C1971:D1971)=0," ",SUM(C1971:D1971))</f>
        <v xml:space="preserve"> </v>
      </c>
      <c r="F1971" s="14"/>
      <c r="G1971" s="120" t="e">
        <f>VLOOKUP($B1971,Information!$C$8:$F$15,4,FALSE)</f>
        <v>#N/A</v>
      </c>
      <c r="H1971" s="210" t="str">
        <f>TEXT(A1971,"ddd")</f>
        <v>Sat</v>
      </c>
    </row>
    <row r="1972" spans="1:8" x14ac:dyDescent="0.25">
      <c r="A1972" s="13"/>
      <c r="B1972" s="14"/>
      <c r="C1972" s="39"/>
      <c r="D1972" s="39"/>
      <c r="E1972" s="36" t="str">
        <f>IF(SUM(C1972:D1972)=0," ",SUM(C1972:D1972))</f>
        <v xml:space="preserve"> </v>
      </c>
      <c r="F1972" s="14"/>
      <c r="G1972" s="120" t="e">
        <f>VLOOKUP($B1972,Information!$C$8:$F$15,4,FALSE)</f>
        <v>#N/A</v>
      </c>
      <c r="H1972" s="210" t="str">
        <f>TEXT(A1972,"ddd")</f>
        <v>Sat</v>
      </c>
    </row>
    <row r="1973" spans="1:8" x14ac:dyDescent="0.25">
      <c r="A1973" s="13"/>
      <c r="B1973" s="14"/>
      <c r="C1973" s="39"/>
      <c r="D1973" s="39"/>
      <c r="E1973" s="36" t="str">
        <f>IF(SUM(C1973:D1973)=0," ",SUM(C1973:D1973))</f>
        <v xml:space="preserve"> </v>
      </c>
      <c r="F1973" s="14"/>
      <c r="G1973" s="120" t="e">
        <f>VLOOKUP($B1973,Information!$C$8:$F$15,4,FALSE)</f>
        <v>#N/A</v>
      </c>
      <c r="H1973" s="210" t="str">
        <f>TEXT(A1973,"ddd")</f>
        <v>Sat</v>
      </c>
    </row>
    <row r="1974" spans="1:8" x14ac:dyDescent="0.25">
      <c r="A1974" s="13"/>
      <c r="B1974" s="14"/>
      <c r="C1974" s="39"/>
      <c r="D1974" s="39"/>
      <c r="E1974" s="36" t="str">
        <f>IF(SUM(C1974:D1974)=0," ",SUM(C1974:D1974))</f>
        <v xml:space="preserve"> </v>
      </c>
      <c r="F1974" s="14"/>
      <c r="G1974" s="120" t="e">
        <f>VLOOKUP($B1974,Information!$C$8:$F$15,4,FALSE)</f>
        <v>#N/A</v>
      </c>
      <c r="H1974" s="210" t="str">
        <f>TEXT(A1974,"ddd")</f>
        <v>Sat</v>
      </c>
    </row>
    <row r="1975" spans="1:8" x14ac:dyDescent="0.25">
      <c r="A1975" s="13"/>
      <c r="B1975" s="14"/>
      <c r="C1975" s="39"/>
      <c r="D1975" s="39"/>
      <c r="E1975" s="36" t="str">
        <f>IF(SUM(C1975:D1975)=0," ",SUM(C1975:D1975))</f>
        <v xml:space="preserve"> </v>
      </c>
      <c r="F1975" s="14"/>
      <c r="G1975" s="120" t="e">
        <f>VLOOKUP($B1975,Information!$C$8:$F$15,4,FALSE)</f>
        <v>#N/A</v>
      </c>
      <c r="H1975" s="210" t="str">
        <f>TEXT(A1975,"ddd")</f>
        <v>Sat</v>
      </c>
    </row>
    <row r="1976" spans="1:8" x14ac:dyDescent="0.25">
      <c r="A1976" s="13"/>
      <c r="B1976" s="14"/>
      <c r="C1976" s="39"/>
      <c r="D1976" s="39"/>
      <c r="E1976" s="36" t="str">
        <f>IF(SUM(C1976:D1976)=0," ",SUM(C1976:D1976))</f>
        <v xml:space="preserve"> </v>
      </c>
      <c r="F1976" s="14"/>
      <c r="G1976" s="120" t="e">
        <f>VLOOKUP($B1976,Information!$C$8:$F$15,4,FALSE)</f>
        <v>#N/A</v>
      </c>
      <c r="H1976" s="210" t="str">
        <f>TEXT(A1976,"ddd")</f>
        <v>Sat</v>
      </c>
    </row>
    <row r="1977" spans="1:8" x14ac:dyDescent="0.25">
      <c r="A1977" s="13"/>
      <c r="B1977" s="14"/>
      <c r="C1977" s="39"/>
      <c r="D1977" s="39"/>
      <c r="E1977" s="36" t="str">
        <f>IF(SUM(C1977:D1977)=0," ",SUM(C1977:D1977))</f>
        <v xml:space="preserve"> </v>
      </c>
      <c r="F1977" s="14"/>
      <c r="G1977" s="120" t="e">
        <f>VLOOKUP($B1977,Information!$C$8:$F$15,4,FALSE)</f>
        <v>#N/A</v>
      </c>
      <c r="H1977" s="210" t="str">
        <f>TEXT(A1977,"ddd")</f>
        <v>Sat</v>
      </c>
    </row>
    <row r="1978" spans="1:8" x14ac:dyDescent="0.25">
      <c r="A1978" s="13"/>
      <c r="B1978" s="14"/>
      <c r="C1978" s="39"/>
      <c r="D1978" s="39"/>
      <c r="E1978" s="36" t="str">
        <f>IF(SUM(C1978:D1978)=0," ",SUM(C1978:D1978))</f>
        <v xml:space="preserve"> </v>
      </c>
      <c r="F1978" s="14"/>
      <c r="G1978" s="120" t="e">
        <f>VLOOKUP($B1978,Information!$C$8:$F$15,4,FALSE)</f>
        <v>#N/A</v>
      </c>
      <c r="H1978" s="210" t="str">
        <f>TEXT(A1978,"ddd")</f>
        <v>Sat</v>
      </c>
    </row>
    <row r="1979" spans="1:8" x14ac:dyDescent="0.25">
      <c r="A1979" s="13"/>
      <c r="B1979" s="14"/>
      <c r="C1979" s="39"/>
      <c r="D1979" s="39"/>
      <c r="E1979" s="36" t="str">
        <f>IF(SUM(C1979:D1979)=0," ",SUM(C1979:D1979))</f>
        <v xml:space="preserve"> </v>
      </c>
      <c r="F1979" s="14"/>
      <c r="G1979" s="120" t="e">
        <f>VLOOKUP($B1979,Information!$C$8:$F$15,4,FALSE)</f>
        <v>#N/A</v>
      </c>
      <c r="H1979" s="210" t="str">
        <f>TEXT(A1979,"ddd")</f>
        <v>Sat</v>
      </c>
    </row>
    <row r="1980" spans="1:8" x14ac:dyDescent="0.25">
      <c r="A1980" s="13"/>
      <c r="B1980" s="14"/>
      <c r="C1980" s="39"/>
      <c r="D1980" s="39"/>
      <c r="E1980" s="36" t="str">
        <f>IF(SUM(C1980:D1980)=0," ",SUM(C1980:D1980))</f>
        <v xml:space="preserve"> </v>
      </c>
      <c r="F1980" s="14"/>
      <c r="G1980" s="120" t="e">
        <f>VLOOKUP($B1980,Information!$C$8:$F$15,4,FALSE)</f>
        <v>#N/A</v>
      </c>
      <c r="H1980" s="210" t="str">
        <f>TEXT(A1980,"ddd")</f>
        <v>Sat</v>
      </c>
    </row>
    <row r="1981" spans="1:8" x14ac:dyDescent="0.25">
      <c r="A1981" s="13"/>
      <c r="B1981" s="14"/>
      <c r="C1981" s="39"/>
      <c r="D1981" s="39"/>
      <c r="E1981" s="36" t="str">
        <f>IF(SUM(C1981:D1981)=0," ",SUM(C1981:D1981))</f>
        <v xml:space="preserve"> </v>
      </c>
      <c r="F1981" s="14"/>
      <c r="G1981" s="120" t="e">
        <f>VLOOKUP($B1981,Information!$C$8:$F$15,4,FALSE)</f>
        <v>#N/A</v>
      </c>
      <c r="H1981" s="210" t="str">
        <f>TEXT(A1981,"ddd")</f>
        <v>Sat</v>
      </c>
    </row>
    <row r="1982" spans="1:8" x14ac:dyDescent="0.25">
      <c r="A1982" s="13"/>
      <c r="B1982" s="14"/>
      <c r="C1982" s="39"/>
      <c r="D1982" s="39"/>
      <c r="E1982" s="36" t="str">
        <f>IF(SUM(C1982:D1982)=0," ",SUM(C1982:D1982))</f>
        <v xml:space="preserve"> </v>
      </c>
      <c r="F1982" s="14"/>
      <c r="G1982" s="120" t="e">
        <f>VLOOKUP($B1982,Information!$C$8:$F$15,4,FALSE)</f>
        <v>#N/A</v>
      </c>
      <c r="H1982" s="210" t="str">
        <f>TEXT(A1982,"ddd")</f>
        <v>Sat</v>
      </c>
    </row>
    <row r="1983" spans="1:8" x14ac:dyDescent="0.25">
      <c r="A1983" s="13"/>
      <c r="B1983" s="14"/>
      <c r="C1983" s="39"/>
      <c r="D1983" s="39"/>
      <c r="E1983" s="36" t="str">
        <f>IF(SUM(C1983:D1983)=0," ",SUM(C1983:D1983))</f>
        <v xml:space="preserve"> </v>
      </c>
      <c r="F1983" s="14"/>
      <c r="G1983" s="120" t="e">
        <f>VLOOKUP($B1983,Information!$C$8:$F$15,4,FALSE)</f>
        <v>#N/A</v>
      </c>
      <c r="H1983" s="210" t="str">
        <f>TEXT(A1983,"ddd")</f>
        <v>Sat</v>
      </c>
    </row>
    <row r="1984" spans="1:8" x14ac:dyDescent="0.25">
      <c r="A1984" s="13"/>
      <c r="B1984" s="14"/>
      <c r="C1984" s="39"/>
      <c r="D1984" s="39"/>
      <c r="E1984" s="36" t="str">
        <f>IF(SUM(C1984:D1984)=0," ",SUM(C1984:D1984))</f>
        <v xml:space="preserve"> </v>
      </c>
      <c r="F1984" s="14"/>
      <c r="G1984" s="120" t="e">
        <f>VLOOKUP($B1984,Information!$C$8:$F$15,4,FALSE)</f>
        <v>#N/A</v>
      </c>
      <c r="H1984" s="210" t="str">
        <f>TEXT(A1984,"ddd")</f>
        <v>Sat</v>
      </c>
    </row>
    <row r="1985" spans="1:8" x14ac:dyDescent="0.25">
      <c r="A1985" s="13"/>
      <c r="B1985" s="14"/>
      <c r="C1985" s="39"/>
      <c r="D1985" s="39"/>
      <c r="E1985" s="36" t="str">
        <f>IF(SUM(C1985:D1985)=0," ",SUM(C1985:D1985))</f>
        <v xml:space="preserve"> </v>
      </c>
      <c r="F1985" s="14"/>
      <c r="G1985" s="120" t="e">
        <f>VLOOKUP($B1985,Information!$C$8:$F$15,4,FALSE)</f>
        <v>#N/A</v>
      </c>
      <c r="H1985" s="210" t="str">
        <f>TEXT(A1985,"ddd")</f>
        <v>Sat</v>
      </c>
    </row>
    <row r="1986" spans="1:8" x14ac:dyDescent="0.25">
      <c r="A1986" s="13"/>
      <c r="B1986" s="14"/>
      <c r="C1986" s="39"/>
      <c r="D1986" s="39"/>
      <c r="E1986" s="36" t="str">
        <f>IF(SUM(C1986:D1986)=0," ",SUM(C1986:D1986))</f>
        <v xml:space="preserve"> </v>
      </c>
      <c r="F1986" s="14"/>
      <c r="G1986" s="120" t="e">
        <f>VLOOKUP($B1986,Information!$C$8:$F$15,4,FALSE)</f>
        <v>#N/A</v>
      </c>
      <c r="H1986" s="210" t="str">
        <f>TEXT(A1986,"ddd")</f>
        <v>Sat</v>
      </c>
    </row>
    <row r="1987" spans="1:8" x14ac:dyDescent="0.25">
      <c r="A1987" s="13"/>
      <c r="B1987" s="14"/>
      <c r="C1987" s="39"/>
      <c r="D1987" s="39"/>
      <c r="E1987" s="36" t="str">
        <f>IF(SUM(C1987:D1987)=0," ",SUM(C1987:D1987))</f>
        <v xml:space="preserve"> </v>
      </c>
      <c r="F1987" s="14"/>
      <c r="G1987" s="120" t="e">
        <f>VLOOKUP($B1987,Information!$C$8:$F$15,4,FALSE)</f>
        <v>#N/A</v>
      </c>
      <c r="H1987" s="210" t="str">
        <f>TEXT(A1987,"ddd")</f>
        <v>Sat</v>
      </c>
    </row>
    <row r="1988" spans="1:8" x14ac:dyDescent="0.25">
      <c r="A1988" s="13"/>
      <c r="B1988" s="14"/>
      <c r="C1988" s="39"/>
      <c r="D1988" s="39"/>
      <c r="E1988" s="36" t="str">
        <f>IF(SUM(C1988:D1988)=0," ",SUM(C1988:D1988))</f>
        <v xml:space="preserve"> </v>
      </c>
      <c r="F1988" s="14"/>
      <c r="G1988" s="120" t="e">
        <f>VLOOKUP($B1988,Information!$C$8:$F$15,4,FALSE)</f>
        <v>#N/A</v>
      </c>
      <c r="H1988" s="210" t="str">
        <f>TEXT(A1988,"ddd")</f>
        <v>Sat</v>
      </c>
    </row>
    <row r="1989" spans="1:8" x14ac:dyDescent="0.25">
      <c r="A1989" s="13"/>
      <c r="B1989" s="14"/>
      <c r="C1989" s="39"/>
      <c r="D1989" s="39"/>
      <c r="E1989" s="36" t="str">
        <f>IF(SUM(C1989:D1989)=0," ",SUM(C1989:D1989))</f>
        <v xml:space="preserve"> </v>
      </c>
      <c r="F1989" s="14"/>
      <c r="G1989" s="120" t="e">
        <f>VLOOKUP($B1989,Information!$C$8:$F$15,4,FALSE)</f>
        <v>#N/A</v>
      </c>
      <c r="H1989" s="210" t="str">
        <f>TEXT(A1989,"ddd")</f>
        <v>Sat</v>
      </c>
    </row>
    <row r="1990" spans="1:8" x14ac:dyDescent="0.25">
      <c r="A1990" s="13"/>
      <c r="B1990" s="14"/>
      <c r="C1990" s="39"/>
      <c r="D1990" s="39"/>
      <c r="E1990" s="36" t="str">
        <f>IF(SUM(C1990:D1990)=0," ",SUM(C1990:D1990))</f>
        <v xml:space="preserve"> </v>
      </c>
      <c r="F1990" s="14"/>
      <c r="G1990" s="120" t="e">
        <f>VLOOKUP($B1990,Information!$C$8:$F$15,4,FALSE)</f>
        <v>#N/A</v>
      </c>
      <c r="H1990" s="210" t="str">
        <f>TEXT(A1990,"ddd")</f>
        <v>Sat</v>
      </c>
    </row>
    <row r="1991" spans="1:8" x14ac:dyDescent="0.25">
      <c r="A1991" s="13"/>
      <c r="B1991" s="14"/>
      <c r="C1991" s="39"/>
      <c r="D1991" s="39"/>
      <c r="E1991" s="36" t="str">
        <f>IF(SUM(C1991:D1991)=0," ",SUM(C1991:D1991))</f>
        <v xml:space="preserve"> </v>
      </c>
      <c r="F1991" s="14"/>
      <c r="G1991" s="120" t="e">
        <f>VLOOKUP($B1991,Information!$C$8:$F$15,4,FALSE)</f>
        <v>#N/A</v>
      </c>
      <c r="H1991" s="210" t="str">
        <f>TEXT(A1991,"ddd")</f>
        <v>Sat</v>
      </c>
    </row>
    <row r="1992" spans="1:8" x14ac:dyDescent="0.25">
      <c r="A1992" s="13"/>
      <c r="B1992" s="14"/>
      <c r="C1992" s="39"/>
      <c r="D1992" s="39"/>
      <c r="E1992" s="36" t="str">
        <f>IF(SUM(C1992:D1992)=0," ",SUM(C1992:D1992))</f>
        <v xml:space="preserve"> </v>
      </c>
      <c r="F1992" s="14"/>
      <c r="G1992" s="120" t="e">
        <f>VLOOKUP($B1992,Information!$C$8:$F$15,4,FALSE)</f>
        <v>#N/A</v>
      </c>
      <c r="H1992" s="210" t="str">
        <f>TEXT(A1992,"ddd")</f>
        <v>Sat</v>
      </c>
    </row>
    <row r="1993" spans="1:8" x14ac:dyDescent="0.25">
      <c r="A1993" s="13"/>
      <c r="B1993" s="14"/>
      <c r="C1993" s="39"/>
      <c r="D1993" s="39"/>
      <c r="E1993" s="36" t="str">
        <f>IF(SUM(C1993:D1993)=0," ",SUM(C1993:D1993))</f>
        <v xml:space="preserve"> </v>
      </c>
      <c r="F1993" s="14"/>
      <c r="G1993" s="120" t="e">
        <f>VLOOKUP($B1993,Information!$C$8:$F$15,4,FALSE)</f>
        <v>#N/A</v>
      </c>
      <c r="H1993" s="210" t="str">
        <f>TEXT(A1993,"ddd")</f>
        <v>Sat</v>
      </c>
    </row>
    <row r="1994" spans="1:8" x14ac:dyDescent="0.25">
      <c r="A1994" s="13"/>
      <c r="B1994" s="14"/>
      <c r="C1994" s="39"/>
      <c r="D1994" s="39"/>
      <c r="E1994" s="36" t="str">
        <f>IF(SUM(C1994:D1994)=0," ",SUM(C1994:D1994))</f>
        <v xml:space="preserve"> </v>
      </c>
      <c r="F1994" s="14"/>
      <c r="G1994" s="120" t="e">
        <f>VLOOKUP($B1994,Information!$C$8:$F$15,4,FALSE)</f>
        <v>#N/A</v>
      </c>
      <c r="H1994" s="210" t="str">
        <f>TEXT(A1994,"ddd")</f>
        <v>Sat</v>
      </c>
    </row>
    <row r="1995" spans="1:8" x14ac:dyDescent="0.25">
      <c r="A1995" s="13"/>
      <c r="B1995" s="14"/>
      <c r="C1995" s="39"/>
      <c r="D1995" s="39"/>
      <c r="E1995" s="36" t="str">
        <f>IF(SUM(C1995:D1995)=0," ",SUM(C1995:D1995))</f>
        <v xml:space="preserve"> </v>
      </c>
      <c r="F1995" s="14"/>
      <c r="G1995" s="120" t="e">
        <f>VLOOKUP($B1995,Information!$C$8:$F$15,4,FALSE)</f>
        <v>#N/A</v>
      </c>
      <c r="H1995" s="210" t="str">
        <f>TEXT(A1995,"ddd")</f>
        <v>Sat</v>
      </c>
    </row>
    <row r="1996" spans="1:8" x14ac:dyDescent="0.25">
      <c r="A1996" s="13"/>
      <c r="B1996" s="14"/>
      <c r="C1996" s="39"/>
      <c r="D1996" s="39"/>
      <c r="E1996" s="36" t="str">
        <f>IF(SUM(C1996:D1996)=0," ",SUM(C1996:D1996))</f>
        <v xml:space="preserve"> </v>
      </c>
      <c r="F1996" s="14"/>
      <c r="G1996" s="120" t="e">
        <f>VLOOKUP($B1996,Information!$C$8:$F$15,4,FALSE)</f>
        <v>#N/A</v>
      </c>
      <c r="H1996" s="210" t="str">
        <f>TEXT(A1996,"ddd")</f>
        <v>Sat</v>
      </c>
    </row>
    <row r="1997" spans="1:8" x14ac:dyDescent="0.25">
      <c r="A1997" s="13"/>
      <c r="B1997" s="14"/>
      <c r="C1997" s="39"/>
      <c r="D1997" s="39"/>
      <c r="E1997" s="36" t="str">
        <f>IF(SUM(C1997:D1997)=0," ",SUM(C1997:D1997))</f>
        <v xml:space="preserve"> </v>
      </c>
      <c r="F1997" s="14"/>
      <c r="G1997" s="120" t="e">
        <f>VLOOKUP($B1997,Information!$C$8:$F$15,4,FALSE)</f>
        <v>#N/A</v>
      </c>
      <c r="H1997" s="210" t="str">
        <f>TEXT(A1997,"ddd")</f>
        <v>Sat</v>
      </c>
    </row>
    <row r="1998" spans="1:8" x14ac:dyDescent="0.25">
      <c r="A1998" s="13"/>
      <c r="B1998" s="14"/>
      <c r="C1998" s="39"/>
      <c r="D1998" s="39"/>
      <c r="E1998" s="36" t="str">
        <f>IF(SUM(C1998:D1998)=0," ",SUM(C1998:D1998))</f>
        <v xml:space="preserve"> </v>
      </c>
      <c r="F1998" s="14"/>
      <c r="G1998" s="120" t="e">
        <f>VLOOKUP($B1998,Information!$C$8:$F$15,4,FALSE)</f>
        <v>#N/A</v>
      </c>
      <c r="H1998" s="210" t="str">
        <f>TEXT(A1998,"ddd")</f>
        <v>Sat</v>
      </c>
    </row>
    <row r="1999" spans="1:8" x14ac:dyDescent="0.25">
      <c r="A1999" s="13"/>
      <c r="B1999" s="14"/>
      <c r="C1999" s="39"/>
      <c r="D1999" s="39"/>
      <c r="E1999" s="36" t="str">
        <f>IF(SUM(C1999:D1999)=0," ",SUM(C1999:D1999))</f>
        <v xml:space="preserve"> </v>
      </c>
      <c r="F1999" s="14"/>
      <c r="G1999" s="120" t="e">
        <f>VLOOKUP($B1999,Information!$C$8:$F$15,4,FALSE)</f>
        <v>#N/A</v>
      </c>
      <c r="H1999" s="210" t="str">
        <f>TEXT(A1999,"ddd")</f>
        <v>Sat</v>
      </c>
    </row>
    <row r="2000" spans="1:8" x14ac:dyDescent="0.25">
      <c r="A2000" s="13"/>
      <c r="B2000" s="14"/>
      <c r="C2000" s="39"/>
      <c r="D2000" s="39"/>
      <c r="E2000" s="36" t="str">
        <f>IF(SUM(C2000:D2000)=0," ",SUM(C2000:D2000))</f>
        <v xml:space="preserve"> </v>
      </c>
      <c r="F2000" s="14"/>
      <c r="G2000" s="120" t="e">
        <f>VLOOKUP($B2000,Information!$C$8:$F$15,4,FALSE)</f>
        <v>#N/A</v>
      </c>
      <c r="H2000" s="210" t="str">
        <f>TEXT(A2000,"ddd")</f>
        <v>Sat</v>
      </c>
    </row>
    <row r="2001" spans="1:8" x14ac:dyDescent="0.25">
      <c r="A2001" s="13"/>
      <c r="B2001" s="14"/>
      <c r="C2001" s="39"/>
      <c r="D2001" s="39"/>
      <c r="E2001" s="36" t="str">
        <f>IF(SUM(C2001:D2001)=0," ",SUM(C2001:D2001))</f>
        <v xml:space="preserve"> </v>
      </c>
      <c r="F2001" s="14"/>
      <c r="G2001" s="120" t="e">
        <f>VLOOKUP($B2001,Information!$C$8:$F$15,4,FALSE)</f>
        <v>#N/A</v>
      </c>
      <c r="H2001" s="210" t="str">
        <f>TEXT(A2001,"ddd")</f>
        <v>Sat</v>
      </c>
    </row>
    <row r="2002" spans="1:8" x14ac:dyDescent="0.25">
      <c r="A2002" s="13"/>
      <c r="B2002" s="14"/>
      <c r="C2002" s="39"/>
      <c r="D2002" s="39"/>
      <c r="E2002" s="36" t="str">
        <f>IF(SUM(C2002:D2002)=0," ",SUM(C2002:D2002))</f>
        <v xml:space="preserve"> </v>
      </c>
      <c r="F2002" s="14"/>
      <c r="G2002" s="120" t="e">
        <f>VLOOKUP($B2002,Information!$C$8:$F$15,4,FALSE)</f>
        <v>#N/A</v>
      </c>
      <c r="H2002" s="210" t="str">
        <f>TEXT(A2002,"ddd")</f>
        <v>Sat</v>
      </c>
    </row>
    <row r="2003" spans="1:8" x14ac:dyDescent="0.25">
      <c r="A2003" s="13"/>
      <c r="B2003" s="14"/>
      <c r="C2003" s="39"/>
      <c r="D2003" s="39"/>
      <c r="E2003" s="36" t="str">
        <f>IF(SUM(C2003:D2003)=0," ",SUM(C2003:D2003))</f>
        <v xml:space="preserve"> </v>
      </c>
      <c r="F2003" s="14"/>
      <c r="G2003" s="120" t="e">
        <f>VLOOKUP($B2003,Information!$C$8:$F$15,4,FALSE)</f>
        <v>#N/A</v>
      </c>
      <c r="H2003" s="210" t="str">
        <f>TEXT(A2003,"ddd")</f>
        <v>Sat</v>
      </c>
    </row>
    <row r="2004" spans="1:8" x14ac:dyDescent="0.25">
      <c r="A2004" s="13"/>
      <c r="B2004" s="14"/>
      <c r="C2004" s="39"/>
      <c r="D2004" s="39"/>
      <c r="E2004" s="36" t="str">
        <f>IF(SUM(C2004:D2004)=0," ",SUM(C2004:D2004))</f>
        <v xml:space="preserve"> </v>
      </c>
      <c r="F2004" s="14"/>
      <c r="G2004" s="120" t="e">
        <f>VLOOKUP($B2004,Information!$C$8:$F$15,4,FALSE)</f>
        <v>#N/A</v>
      </c>
      <c r="H2004" s="210" t="str">
        <f>TEXT(A2004,"ddd")</f>
        <v>Sat</v>
      </c>
    </row>
    <row r="2005" spans="1:8" x14ac:dyDescent="0.25">
      <c r="A2005" s="13"/>
      <c r="B2005" s="14"/>
      <c r="C2005" s="39"/>
      <c r="D2005" s="39"/>
      <c r="E2005" s="36" t="str">
        <f>IF(SUM(C2005:D2005)=0," ",SUM(C2005:D2005))</f>
        <v xml:space="preserve"> </v>
      </c>
      <c r="F2005" s="14"/>
      <c r="G2005" s="120" t="e">
        <f>VLOOKUP($B2005,Information!$C$8:$F$15,4,FALSE)</f>
        <v>#N/A</v>
      </c>
      <c r="H2005" s="210" t="str">
        <f>TEXT(A2005,"ddd")</f>
        <v>Sat</v>
      </c>
    </row>
    <row r="2006" spans="1:8" x14ac:dyDescent="0.25">
      <c r="A2006" s="13"/>
      <c r="B2006" s="14"/>
      <c r="C2006" s="39"/>
      <c r="D2006" s="39"/>
      <c r="E2006" s="36" t="str">
        <f>IF(SUM(C2006:D2006)=0," ",SUM(C2006:D2006))</f>
        <v xml:space="preserve"> </v>
      </c>
      <c r="F2006" s="14"/>
      <c r="G2006" s="120" t="e">
        <f>VLOOKUP($B2006,Information!$C$8:$F$15,4,FALSE)</f>
        <v>#N/A</v>
      </c>
      <c r="H2006" s="210" t="str">
        <f>TEXT(A2006,"ddd")</f>
        <v>Sat</v>
      </c>
    </row>
    <row r="2007" spans="1:8" x14ac:dyDescent="0.25">
      <c r="A2007" s="13"/>
      <c r="B2007" s="14"/>
      <c r="C2007" s="39"/>
      <c r="D2007" s="39"/>
      <c r="E2007" s="36" t="str">
        <f>IF(SUM(C2007:D2007)=0," ",SUM(C2007:D2007))</f>
        <v xml:space="preserve"> </v>
      </c>
      <c r="F2007" s="14"/>
      <c r="G2007" s="120" t="e">
        <f>VLOOKUP($B2007,Information!$C$8:$F$15,4,FALSE)</f>
        <v>#N/A</v>
      </c>
      <c r="H2007" s="210" t="str">
        <f>TEXT(A2007,"ddd")</f>
        <v>Sat</v>
      </c>
    </row>
    <row r="2008" spans="1:8" x14ac:dyDescent="0.25">
      <c r="A2008" s="13"/>
      <c r="B2008" s="14"/>
      <c r="C2008" s="39"/>
      <c r="D2008" s="39"/>
      <c r="E2008" s="36" t="str">
        <f>IF(SUM(C2008:D2008)=0," ",SUM(C2008:D2008))</f>
        <v xml:space="preserve"> </v>
      </c>
      <c r="F2008" s="14"/>
      <c r="G2008" s="120" t="e">
        <f>VLOOKUP($B2008,Information!$C$8:$F$15,4,FALSE)</f>
        <v>#N/A</v>
      </c>
      <c r="H2008" s="210" t="str">
        <f>TEXT(A2008,"ddd")</f>
        <v>Sat</v>
      </c>
    </row>
    <row r="2009" spans="1:8" x14ac:dyDescent="0.25">
      <c r="A2009" s="13"/>
      <c r="B2009" s="14"/>
      <c r="C2009" s="39"/>
      <c r="D2009" s="39"/>
      <c r="E2009" s="36" t="str">
        <f>IF(SUM(C2009:D2009)=0," ",SUM(C2009:D2009))</f>
        <v xml:space="preserve"> </v>
      </c>
      <c r="F2009" s="14"/>
      <c r="G2009" s="120" t="e">
        <f>VLOOKUP($B2009,Information!$C$8:$F$15,4,FALSE)</f>
        <v>#N/A</v>
      </c>
      <c r="H2009" s="210" t="str">
        <f>TEXT(A2009,"ddd")</f>
        <v>Sat</v>
      </c>
    </row>
    <row r="2010" spans="1:8" x14ac:dyDescent="0.25">
      <c r="A2010" s="13"/>
      <c r="B2010" s="14"/>
      <c r="C2010" s="39"/>
      <c r="D2010" s="39"/>
      <c r="E2010" s="36" t="str">
        <f>IF(SUM(C2010:D2010)=0," ",SUM(C2010:D2010))</f>
        <v xml:space="preserve"> </v>
      </c>
      <c r="F2010" s="14"/>
      <c r="G2010" s="120" t="e">
        <f>VLOOKUP($B2010,Information!$C$8:$F$15,4,FALSE)</f>
        <v>#N/A</v>
      </c>
      <c r="H2010" s="210" t="str">
        <f>TEXT(A2010,"ddd")</f>
        <v>Sat</v>
      </c>
    </row>
    <row r="2011" spans="1:8" x14ac:dyDescent="0.25">
      <c r="A2011" s="13"/>
      <c r="B2011" s="14"/>
      <c r="C2011" s="39"/>
      <c r="D2011" s="39"/>
      <c r="E2011" s="36" t="str">
        <f>IF(SUM(C2011:D2011)=0," ",SUM(C2011:D2011))</f>
        <v xml:space="preserve"> </v>
      </c>
      <c r="F2011" s="14"/>
      <c r="G2011" s="120" t="e">
        <f>VLOOKUP($B2011,Information!$C$8:$F$15,4,FALSE)</f>
        <v>#N/A</v>
      </c>
      <c r="H2011" s="210" t="str">
        <f>TEXT(A2011,"ddd")</f>
        <v>Sat</v>
      </c>
    </row>
    <row r="2012" spans="1:8" x14ac:dyDescent="0.25">
      <c r="A2012" s="13"/>
      <c r="B2012" s="14"/>
      <c r="C2012" s="39"/>
      <c r="D2012" s="39"/>
      <c r="E2012" s="36" t="str">
        <f>IF(SUM(C2012:D2012)=0," ",SUM(C2012:D2012))</f>
        <v xml:space="preserve"> </v>
      </c>
      <c r="F2012" s="14"/>
      <c r="G2012" s="120" t="e">
        <f>VLOOKUP($B2012,Information!$C$8:$F$15,4,FALSE)</f>
        <v>#N/A</v>
      </c>
      <c r="H2012" s="210" t="str">
        <f>TEXT(A2012,"ddd")</f>
        <v>Sat</v>
      </c>
    </row>
    <row r="2013" spans="1:8" x14ac:dyDescent="0.25">
      <c r="A2013" s="13"/>
      <c r="B2013" s="14"/>
      <c r="C2013" s="39"/>
      <c r="D2013" s="39"/>
      <c r="E2013" s="36" t="str">
        <f>IF(SUM(C2013:D2013)=0," ",SUM(C2013:D2013))</f>
        <v xml:space="preserve"> </v>
      </c>
      <c r="F2013" s="14"/>
      <c r="G2013" s="120" t="e">
        <f>VLOOKUP($B2013,Information!$C$8:$F$15,4,FALSE)</f>
        <v>#N/A</v>
      </c>
      <c r="H2013" s="210" t="str">
        <f>TEXT(A2013,"ddd")</f>
        <v>Sat</v>
      </c>
    </row>
    <row r="2014" spans="1:8" x14ac:dyDescent="0.25">
      <c r="A2014" s="13"/>
      <c r="B2014" s="14"/>
      <c r="C2014" s="39"/>
      <c r="D2014" s="39"/>
      <c r="E2014" s="36" t="str">
        <f>IF(SUM(C2014:D2014)=0," ",SUM(C2014:D2014))</f>
        <v xml:space="preserve"> </v>
      </c>
      <c r="F2014" s="14"/>
      <c r="G2014" s="120" t="e">
        <f>VLOOKUP($B2014,Information!$C$8:$F$15,4,FALSE)</f>
        <v>#N/A</v>
      </c>
      <c r="H2014" s="210" t="str">
        <f>TEXT(A2014,"ddd")</f>
        <v>Sat</v>
      </c>
    </row>
    <row r="2015" spans="1:8" x14ac:dyDescent="0.25">
      <c r="A2015" s="13"/>
      <c r="B2015" s="14"/>
      <c r="C2015" s="39"/>
      <c r="D2015" s="39"/>
      <c r="E2015" s="36" t="str">
        <f>IF(SUM(C2015:D2015)=0," ",SUM(C2015:D2015))</f>
        <v xml:space="preserve"> </v>
      </c>
      <c r="F2015" s="14"/>
      <c r="G2015" s="120" t="e">
        <f>VLOOKUP($B2015,Information!$C$8:$F$15,4,FALSE)</f>
        <v>#N/A</v>
      </c>
      <c r="H2015" s="210" t="str">
        <f>TEXT(A2015,"ddd")</f>
        <v>Sat</v>
      </c>
    </row>
    <row r="2016" spans="1:8" x14ac:dyDescent="0.25">
      <c r="A2016" s="13"/>
      <c r="B2016" s="14"/>
      <c r="C2016" s="39"/>
      <c r="D2016" s="39"/>
      <c r="E2016" s="36" t="str">
        <f>IF(SUM(C2016:D2016)=0," ",SUM(C2016:D2016))</f>
        <v xml:space="preserve"> </v>
      </c>
      <c r="F2016" s="14"/>
      <c r="G2016" s="120" t="e">
        <f>VLOOKUP($B2016,Information!$C$8:$F$15,4,FALSE)</f>
        <v>#N/A</v>
      </c>
      <c r="H2016" s="210" t="str">
        <f>TEXT(A2016,"ddd")</f>
        <v>Sat</v>
      </c>
    </row>
    <row r="2017" spans="1:8" x14ac:dyDescent="0.25">
      <c r="A2017" s="13"/>
      <c r="B2017" s="14"/>
      <c r="C2017" s="39"/>
      <c r="D2017" s="39"/>
      <c r="E2017" s="36" t="str">
        <f>IF(SUM(C2017:D2017)=0," ",SUM(C2017:D2017))</f>
        <v xml:space="preserve"> </v>
      </c>
      <c r="F2017" s="14"/>
      <c r="G2017" s="120" t="e">
        <f>VLOOKUP($B2017,Information!$C$8:$F$15,4,FALSE)</f>
        <v>#N/A</v>
      </c>
      <c r="H2017" s="210" t="str">
        <f>TEXT(A2017,"ddd")</f>
        <v>Sat</v>
      </c>
    </row>
    <row r="2018" spans="1:8" x14ac:dyDescent="0.25">
      <c r="A2018" s="13"/>
      <c r="B2018" s="14"/>
      <c r="C2018" s="39"/>
      <c r="D2018" s="39"/>
      <c r="E2018" s="36" t="str">
        <f>IF(SUM(C2018:D2018)=0," ",SUM(C2018:D2018))</f>
        <v xml:space="preserve"> </v>
      </c>
      <c r="F2018" s="14"/>
      <c r="G2018" s="120" t="e">
        <f>VLOOKUP($B2018,Information!$C$8:$F$15,4,FALSE)</f>
        <v>#N/A</v>
      </c>
      <c r="H2018" s="210" t="str">
        <f>TEXT(A2018,"ddd")</f>
        <v>Sat</v>
      </c>
    </row>
    <row r="2019" spans="1:8" x14ac:dyDescent="0.25">
      <c r="A2019" s="13"/>
      <c r="B2019" s="14"/>
      <c r="C2019" s="39"/>
      <c r="D2019" s="39"/>
      <c r="E2019" s="36" t="str">
        <f>IF(SUM(C2019:D2019)=0," ",SUM(C2019:D2019))</f>
        <v xml:space="preserve"> </v>
      </c>
      <c r="F2019" s="14"/>
      <c r="G2019" s="120" t="e">
        <f>VLOOKUP($B2019,Information!$C$8:$F$15,4,FALSE)</f>
        <v>#N/A</v>
      </c>
      <c r="H2019" s="210" t="str">
        <f>TEXT(A2019,"ddd")</f>
        <v>Sat</v>
      </c>
    </row>
    <row r="2020" spans="1:8" x14ac:dyDescent="0.25">
      <c r="A2020" s="13"/>
      <c r="B2020" s="14"/>
      <c r="C2020" s="39"/>
      <c r="D2020" s="39"/>
      <c r="E2020" s="36" t="str">
        <f>IF(SUM(C2020:D2020)=0," ",SUM(C2020:D2020))</f>
        <v xml:space="preserve"> </v>
      </c>
      <c r="F2020" s="14"/>
      <c r="G2020" s="120" t="e">
        <f>VLOOKUP($B2020,Information!$C$8:$F$15,4,FALSE)</f>
        <v>#N/A</v>
      </c>
      <c r="H2020" s="210" t="str">
        <f>TEXT(A2020,"ddd")</f>
        <v>Sat</v>
      </c>
    </row>
    <row r="2021" spans="1:8" x14ac:dyDescent="0.25">
      <c r="A2021" s="13"/>
      <c r="B2021" s="14"/>
      <c r="C2021" s="39"/>
      <c r="D2021" s="39"/>
      <c r="E2021" s="36" t="str">
        <f>IF(SUM(C2021:D2021)=0," ",SUM(C2021:D2021))</f>
        <v xml:space="preserve"> </v>
      </c>
      <c r="F2021" s="14"/>
      <c r="G2021" s="120" t="e">
        <f>VLOOKUP($B2021,Information!$C$8:$F$15,4,FALSE)</f>
        <v>#N/A</v>
      </c>
      <c r="H2021" s="210" t="str">
        <f>TEXT(A2021,"ddd")</f>
        <v>Sat</v>
      </c>
    </row>
    <row r="2022" spans="1:8" x14ac:dyDescent="0.25">
      <c r="A2022" s="13"/>
      <c r="B2022" s="14"/>
      <c r="C2022" s="39"/>
      <c r="D2022" s="39"/>
      <c r="E2022" s="36" t="str">
        <f>IF(SUM(C2022:D2022)=0," ",SUM(C2022:D2022))</f>
        <v xml:space="preserve"> </v>
      </c>
      <c r="F2022" s="14"/>
      <c r="G2022" s="120" t="e">
        <f>VLOOKUP($B2022,Information!$C$8:$F$15,4,FALSE)</f>
        <v>#N/A</v>
      </c>
      <c r="H2022" s="210" t="str">
        <f>TEXT(A2022,"ddd")</f>
        <v>Sat</v>
      </c>
    </row>
    <row r="2023" spans="1:8" x14ac:dyDescent="0.25">
      <c r="A2023" s="13"/>
      <c r="B2023" s="14"/>
      <c r="C2023" s="39"/>
      <c r="D2023" s="39"/>
      <c r="E2023" s="36" t="str">
        <f>IF(SUM(C2023:D2023)=0," ",SUM(C2023:D2023))</f>
        <v xml:space="preserve"> </v>
      </c>
      <c r="F2023" s="14"/>
      <c r="G2023" s="120" t="e">
        <f>VLOOKUP($B2023,Information!$C$8:$F$15,4,FALSE)</f>
        <v>#N/A</v>
      </c>
      <c r="H2023" s="210" t="str">
        <f>TEXT(A2023,"ddd")</f>
        <v>Sat</v>
      </c>
    </row>
    <row r="2024" spans="1:8" x14ac:dyDescent="0.25">
      <c r="A2024" s="13"/>
      <c r="B2024" s="14"/>
      <c r="C2024" s="39"/>
      <c r="D2024" s="39"/>
      <c r="E2024" s="36" t="str">
        <f>IF(SUM(C2024:D2024)=0," ",SUM(C2024:D2024))</f>
        <v xml:space="preserve"> </v>
      </c>
      <c r="F2024" s="14"/>
      <c r="G2024" s="120" t="e">
        <f>VLOOKUP($B2024,Information!$C$8:$F$15,4,FALSE)</f>
        <v>#N/A</v>
      </c>
      <c r="H2024" s="210" t="str">
        <f>TEXT(A2024,"ddd")</f>
        <v>Sat</v>
      </c>
    </row>
    <row r="2025" spans="1:8" x14ac:dyDescent="0.25">
      <c r="A2025" s="13"/>
      <c r="B2025" s="14"/>
      <c r="C2025" s="39"/>
      <c r="D2025" s="39"/>
      <c r="E2025" s="36" t="str">
        <f>IF(SUM(C2025:D2025)=0," ",SUM(C2025:D2025))</f>
        <v xml:space="preserve"> </v>
      </c>
      <c r="F2025" s="14"/>
      <c r="G2025" s="120" t="e">
        <f>VLOOKUP($B2025,Information!$C$8:$F$15,4,FALSE)</f>
        <v>#N/A</v>
      </c>
      <c r="H2025" s="210" t="str">
        <f>TEXT(A2025,"ddd")</f>
        <v>Sat</v>
      </c>
    </row>
    <row r="2026" spans="1:8" x14ac:dyDescent="0.25">
      <c r="A2026" s="13"/>
      <c r="B2026" s="14"/>
      <c r="C2026" s="39"/>
      <c r="D2026" s="39"/>
      <c r="E2026" s="36" t="str">
        <f>IF(SUM(C2026:D2026)=0," ",SUM(C2026:D2026))</f>
        <v xml:space="preserve"> </v>
      </c>
      <c r="F2026" s="14"/>
      <c r="G2026" s="120" t="e">
        <f>VLOOKUP($B2026,Information!$C$8:$F$15,4,FALSE)</f>
        <v>#N/A</v>
      </c>
      <c r="H2026" s="210" t="str">
        <f>TEXT(A2026,"ddd")</f>
        <v>Sat</v>
      </c>
    </row>
    <row r="2027" spans="1:8" x14ac:dyDescent="0.25">
      <c r="A2027" s="13"/>
      <c r="B2027" s="14"/>
      <c r="C2027" s="39"/>
      <c r="D2027" s="39"/>
      <c r="E2027" s="36" t="str">
        <f>IF(SUM(C2027:D2027)=0," ",SUM(C2027:D2027))</f>
        <v xml:space="preserve"> </v>
      </c>
      <c r="F2027" s="14"/>
      <c r="G2027" s="120" t="e">
        <f>VLOOKUP($B2027,Information!$C$8:$F$15,4,FALSE)</f>
        <v>#N/A</v>
      </c>
      <c r="H2027" s="210" t="str">
        <f>TEXT(A2027,"ddd")</f>
        <v>Sat</v>
      </c>
    </row>
    <row r="2028" spans="1:8" x14ac:dyDescent="0.25">
      <c r="A2028" s="13"/>
      <c r="B2028" s="14"/>
      <c r="C2028" s="39"/>
      <c r="D2028" s="39"/>
      <c r="E2028" s="36" t="str">
        <f>IF(SUM(C2028:D2028)=0," ",SUM(C2028:D2028))</f>
        <v xml:space="preserve"> </v>
      </c>
      <c r="F2028" s="14"/>
      <c r="G2028" s="120" t="e">
        <f>VLOOKUP($B2028,Information!$C$8:$F$15,4,FALSE)</f>
        <v>#N/A</v>
      </c>
      <c r="H2028" s="210" t="str">
        <f>TEXT(A2028,"ddd")</f>
        <v>Sat</v>
      </c>
    </row>
    <row r="2029" spans="1:8" x14ac:dyDescent="0.25">
      <c r="A2029" s="13"/>
      <c r="B2029" s="14"/>
      <c r="C2029" s="39"/>
      <c r="D2029" s="39"/>
      <c r="E2029" s="36" t="str">
        <f>IF(SUM(C2029:D2029)=0," ",SUM(C2029:D2029))</f>
        <v xml:space="preserve"> </v>
      </c>
      <c r="F2029" s="14"/>
      <c r="G2029" s="120" t="e">
        <f>VLOOKUP($B2029,Information!$C$8:$F$15,4,FALSE)</f>
        <v>#N/A</v>
      </c>
      <c r="H2029" s="210" t="str">
        <f>TEXT(A2029,"ddd")</f>
        <v>Sat</v>
      </c>
    </row>
    <row r="2030" spans="1:8" x14ac:dyDescent="0.25">
      <c r="A2030" s="13"/>
      <c r="B2030" s="14"/>
      <c r="C2030" s="39"/>
      <c r="D2030" s="39"/>
      <c r="E2030" s="36" t="str">
        <f>IF(SUM(C2030:D2030)=0," ",SUM(C2030:D2030))</f>
        <v xml:space="preserve"> </v>
      </c>
      <c r="F2030" s="14"/>
      <c r="G2030" s="120" t="e">
        <f>VLOOKUP($B2030,Information!$C$8:$F$15,4,FALSE)</f>
        <v>#N/A</v>
      </c>
      <c r="H2030" s="210" t="str">
        <f>TEXT(A2030,"ddd")</f>
        <v>Sat</v>
      </c>
    </row>
    <row r="2031" spans="1:8" x14ac:dyDescent="0.25">
      <c r="A2031" s="13"/>
      <c r="B2031" s="14"/>
      <c r="C2031" s="39"/>
      <c r="D2031" s="39"/>
      <c r="E2031" s="36" t="str">
        <f>IF(SUM(C2031:D2031)=0," ",SUM(C2031:D2031))</f>
        <v xml:space="preserve"> </v>
      </c>
      <c r="F2031" s="14"/>
      <c r="G2031" s="120" t="e">
        <f>VLOOKUP($B2031,Information!$C$8:$F$15,4,FALSE)</f>
        <v>#N/A</v>
      </c>
      <c r="H2031" s="210" t="str">
        <f>TEXT(A2031,"ddd")</f>
        <v>Sat</v>
      </c>
    </row>
    <row r="2032" spans="1:8" x14ac:dyDescent="0.25">
      <c r="A2032" s="13"/>
      <c r="B2032" s="14"/>
      <c r="C2032" s="39"/>
      <c r="D2032" s="39"/>
      <c r="E2032" s="36" t="str">
        <f>IF(SUM(C2032:D2032)=0," ",SUM(C2032:D2032))</f>
        <v xml:space="preserve"> </v>
      </c>
      <c r="F2032" s="14"/>
      <c r="G2032" s="120" t="e">
        <f>VLOOKUP($B2032,Information!$C$8:$F$15,4,FALSE)</f>
        <v>#N/A</v>
      </c>
      <c r="H2032" s="210" t="str">
        <f>TEXT(A2032,"ddd")</f>
        <v>Sat</v>
      </c>
    </row>
    <row r="2033" spans="1:8" x14ac:dyDescent="0.25">
      <c r="A2033" s="13"/>
      <c r="B2033" s="14"/>
      <c r="C2033" s="39"/>
      <c r="D2033" s="39"/>
      <c r="E2033" s="36" t="str">
        <f>IF(SUM(C2033:D2033)=0," ",SUM(C2033:D2033))</f>
        <v xml:space="preserve"> </v>
      </c>
      <c r="F2033" s="14"/>
      <c r="G2033" s="120" t="e">
        <f>VLOOKUP($B2033,Information!$C$8:$F$15,4,FALSE)</f>
        <v>#N/A</v>
      </c>
      <c r="H2033" s="210" t="str">
        <f>TEXT(A2033,"ddd")</f>
        <v>Sat</v>
      </c>
    </row>
    <row r="2034" spans="1:8" x14ac:dyDescent="0.25">
      <c r="A2034" s="13"/>
      <c r="B2034" s="14"/>
      <c r="C2034" s="39"/>
      <c r="D2034" s="39"/>
      <c r="E2034" s="36" t="str">
        <f>IF(SUM(C2034:D2034)=0," ",SUM(C2034:D2034))</f>
        <v xml:space="preserve"> </v>
      </c>
      <c r="F2034" s="14"/>
      <c r="G2034" s="120" t="e">
        <f>VLOOKUP($B2034,Information!$C$8:$F$15,4,FALSE)</f>
        <v>#N/A</v>
      </c>
      <c r="H2034" s="210" t="str">
        <f>TEXT(A2034,"ddd")</f>
        <v>Sat</v>
      </c>
    </row>
    <row r="2035" spans="1:8" x14ac:dyDescent="0.25">
      <c r="A2035" s="13"/>
      <c r="B2035" s="14"/>
      <c r="C2035" s="39"/>
      <c r="D2035" s="39"/>
      <c r="E2035" s="36" t="str">
        <f>IF(SUM(C2035:D2035)=0," ",SUM(C2035:D2035))</f>
        <v xml:space="preserve"> </v>
      </c>
      <c r="F2035" s="14"/>
      <c r="G2035" s="120" t="e">
        <f>VLOOKUP($B2035,Information!$C$8:$F$15,4,FALSE)</f>
        <v>#N/A</v>
      </c>
      <c r="H2035" s="210" t="str">
        <f>TEXT(A2035,"ddd")</f>
        <v>Sat</v>
      </c>
    </row>
    <row r="2036" spans="1:8" x14ac:dyDescent="0.25">
      <c r="A2036" s="13"/>
      <c r="B2036" s="14"/>
      <c r="C2036" s="39"/>
      <c r="D2036" s="39"/>
      <c r="E2036" s="36" t="str">
        <f>IF(SUM(C2036:D2036)=0," ",SUM(C2036:D2036))</f>
        <v xml:space="preserve"> </v>
      </c>
      <c r="F2036" s="14"/>
      <c r="G2036" s="120" t="e">
        <f>VLOOKUP($B2036,Information!$C$8:$F$15,4,FALSE)</f>
        <v>#N/A</v>
      </c>
      <c r="H2036" s="210" t="str">
        <f>TEXT(A2036,"ddd")</f>
        <v>Sat</v>
      </c>
    </row>
    <row r="2037" spans="1:8" x14ac:dyDescent="0.25">
      <c r="A2037" s="13"/>
      <c r="B2037" s="14"/>
      <c r="C2037" s="39"/>
      <c r="D2037" s="39"/>
      <c r="E2037" s="36" t="str">
        <f>IF(SUM(C2037:D2037)=0," ",SUM(C2037:D2037))</f>
        <v xml:space="preserve"> </v>
      </c>
      <c r="F2037" s="14"/>
      <c r="G2037" s="120" t="e">
        <f>VLOOKUP($B2037,Information!$C$8:$F$15,4,FALSE)</f>
        <v>#N/A</v>
      </c>
      <c r="H2037" s="210" t="str">
        <f>TEXT(A2037,"ddd")</f>
        <v>Sat</v>
      </c>
    </row>
    <row r="2038" spans="1:8" x14ac:dyDescent="0.25">
      <c r="A2038" s="13"/>
      <c r="B2038" s="14"/>
      <c r="C2038" s="39"/>
      <c r="D2038" s="39"/>
      <c r="E2038" s="36" t="str">
        <f>IF(SUM(C2038:D2038)=0," ",SUM(C2038:D2038))</f>
        <v xml:space="preserve"> </v>
      </c>
      <c r="F2038" s="14"/>
      <c r="G2038" s="120" t="e">
        <f>VLOOKUP($B2038,Information!$C$8:$F$15,4,FALSE)</f>
        <v>#N/A</v>
      </c>
      <c r="H2038" s="210" t="str">
        <f>TEXT(A2038,"ddd")</f>
        <v>Sat</v>
      </c>
    </row>
    <row r="2039" spans="1:8" x14ac:dyDescent="0.25">
      <c r="A2039" s="13"/>
      <c r="B2039" s="14"/>
      <c r="C2039" s="39"/>
      <c r="D2039" s="39"/>
      <c r="E2039" s="36" t="str">
        <f>IF(SUM(C2039:D2039)=0," ",SUM(C2039:D2039))</f>
        <v xml:space="preserve"> </v>
      </c>
      <c r="F2039" s="14"/>
      <c r="G2039" s="120" t="e">
        <f>VLOOKUP($B2039,Information!$C$8:$F$15,4,FALSE)</f>
        <v>#N/A</v>
      </c>
      <c r="H2039" s="210" t="str">
        <f>TEXT(A2039,"ddd")</f>
        <v>Sat</v>
      </c>
    </row>
    <row r="2040" spans="1:8" x14ac:dyDescent="0.25">
      <c r="A2040" s="13"/>
      <c r="B2040" s="14"/>
      <c r="C2040" s="39"/>
      <c r="D2040" s="39"/>
      <c r="E2040" s="36" t="str">
        <f>IF(SUM(C2040:D2040)=0," ",SUM(C2040:D2040))</f>
        <v xml:space="preserve"> </v>
      </c>
      <c r="F2040" s="14"/>
      <c r="G2040" s="120" t="e">
        <f>VLOOKUP($B2040,Information!$C$8:$F$15,4,FALSE)</f>
        <v>#N/A</v>
      </c>
      <c r="H2040" s="210" t="str">
        <f>TEXT(A2040,"ddd")</f>
        <v>Sat</v>
      </c>
    </row>
    <row r="2041" spans="1:8" x14ac:dyDescent="0.25">
      <c r="A2041" s="13"/>
      <c r="B2041" s="14"/>
      <c r="C2041" s="39"/>
      <c r="D2041" s="39"/>
      <c r="E2041" s="36" t="str">
        <f>IF(SUM(C2041:D2041)=0," ",SUM(C2041:D2041))</f>
        <v xml:space="preserve"> </v>
      </c>
      <c r="F2041" s="14"/>
      <c r="G2041" s="120" t="e">
        <f>VLOOKUP($B2041,Information!$C$8:$F$15,4,FALSE)</f>
        <v>#N/A</v>
      </c>
      <c r="H2041" s="210" t="str">
        <f>TEXT(A2041,"ddd")</f>
        <v>Sat</v>
      </c>
    </row>
    <row r="2042" spans="1:8" x14ac:dyDescent="0.25">
      <c r="A2042" s="13"/>
      <c r="B2042" s="14"/>
      <c r="C2042" s="39"/>
      <c r="D2042" s="39"/>
      <c r="E2042" s="36" t="str">
        <f>IF(SUM(C2042:D2042)=0," ",SUM(C2042:D2042))</f>
        <v xml:space="preserve"> </v>
      </c>
      <c r="F2042" s="14"/>
      <c r="G2042" s="120" t="e">
        <f>VLOOKUP($B2042,Information!$C$8:$F$15,4,FALSE)</f>
        <v>#N/A</v>
      </c>
      <c r="H2042" s="210" t="str">
        <f>TEXT(A2042,"ddd")</f>
        <v>Sat</v>
      </c>
    </row>
    <row r="2043" spans="1:8" x14ac:dyDescent="0.25">
      <c r="A2043" s="13"/>
      <c r="B2043" s="14"/>
      <c r="C2043" s="39"/>
      <c r="D2043" s="39"/>
      <c r="E2043" s="36" t="str">
        <f>IF(SUM(C2043:D2043)=0," ",SUM(C2043:D2043))</f>
        <v xml:space="preserve"> </v>
      </c>
      <c r="F2043" s="14"/>
      <c r="G2043" s="120" t="e">
        <f>VLOOKUP($B2043,Information!$C$8:$F$15,4,FALSE)</f>
        <v>#N/A</v>
      </c>
      <c r="H2043" s="210" t="str">
        <f>TEXT(A2043,"ddd")</f>
        <v>Sat</v>
      </c>
    </row>
    <row r="2044" spans="1:8" x14ac:dyDescent="0.25">
      <c r="A2044" s="13"/>
      <c r="B2044" s="14"/>
      <c r="C2044" s="39"/>
      <c r="D2044" s="39"/>
      <c r="E2044" s="36" t="str">
        <f>IF(SUM(C2044:D2044)=0," ",SUM(C2044:D2044))</f>
        <v xml:space="preserve"> </v>
      </c>
      <c r="F2044" s="14"/>
      <c r="G2044" s="120" t="e">
        <f>VLOOKUP($B2044,Information!$C$8:$F$15,4,FALSE)</f>
        <v>#N/A</v>
      </c>
      <c r="H2044" s="210" t="str">
        <f>TEXT(A2044,"ddd")</f>
        <v>Sat</v>
      </c>
    </row>
    <row r="2045" spans="1:8" x14ac:dyDescent="0.25">
      <c r="A2045" s="13"/>
      <c r="B2045" s="14"/>
      <c r="C2045" s="39"/>
      <c r="D2045" s="39"/>
      <c r="E2045" s="36" t="str">
        <f>IF(SUM(C2045:D2045)=0," ",SUM(C2045:D2045))</f>
        <v xml:space="preserve"> </v>
      </c>
      <c r="F2045" s="14"/>
      <c r="G2045" s="120" t="e">
        <f>VLOOKUP($B2045,Information!$C$8:$F$15,4,FALSE)</f>
        <v>#N/A</v>
      </c>
      <c r="H2045" s="210" t="str">
        <f>TEXT(A2045,"ddd")</f>
        <v>Sat</v>
      </c>
    </row>
    <row r="2046" spans="1:8" x14ac:dyDescent="0.25">
      <c r="A2046" s="13"/>
      <c r="B2046" s="14"/>
      <c r="C2046" s="39"/>
      <c r="D2046" s="39"/>
      <c r="E2046" s="36" t="str">
        <f>IF(SUM(C2046:D2046)=0," ",SUM(C2046:D2046))</f>
        <v xml:space="preserve"> </v>
      </c>
      <c r="F2046" s="14"/>
      <c r="G2046" s="120" t="e">
        <f>VLOOKUP($B2046,Information!$C$8:$F$15,4,FALSE)</f>
        <v>#N/A</v>
      </c>
      <c r="H2046" s="210" t="str">
        <f>TEXT(A2046,"ddd")</f>
        <v>Sat</v>
      </c>
    </row>
    <row r="2047" spans="1:8" x14ac:dyDescent="0.25">
      <c r="A2047" s="13"/>
      <c r="B2047" s="14"/>
      <c r="C2047" s="39"/>
      <c r="D2047" s="39"/>
      <c r="E2047" s="36" t="str">
        <f>IF(SUM(C2047:D2047)=0," ",SUM(C2047:D2047))</f>
        <v xml:space="preserve"> </v>
      </c>
      <c r="F2047" s="14"/>
      <c r="G2047" s="120" t="e">
        <f>VLOOKUP($B2047,Information!$C$8:$F$15,4,FALSE)</f>
        <v>#N/A</v>
      </c>
      <c r="H2047" s="210" t="str">
        <f>TEXT(A2047,"ddd")</f>
        <v>Sat</v>
      </c>
    </row>
    <row r="2048" spans="1:8" x14ac:dyDescent="0.25">
      <c r="A2048" s="13"/>
      <c r="B2048" s="14"/>
      <c r="C2048" s="39"/>
      <c r="D2048" s="39"/>
      <c r="E2048" s="36" t="str">
        <f>IF(SUM(C2048:D2048)=0," ",SUM(C2048:D2048))</f>
        <v xml:space="preserve"> </v>
      </c>
      <c r="F2048" s="14"/>
      <c r="G2048" s="120" t="e">
        <f>VLOOKUP($B2048,Information!$C$8:$F$15,4,FALSE)</f>
        <v>#N/A</v>
      </c>
      <c r="H2048" s="210" t="str">
        <f>TEXT(A2048,"ddd")</f>
        <v>Sat</v>
      </c>
    </row>
    <row r="2049" spans="1:8" x14ac:dyDescent="0.25">
      <c r="A2049" s="13"/>
      <c r="B2049" s="14"/>
      <c r="C2049" s="39"/>
      <c r="D2049" s="39"/>
      <c r="E2049" s="36" t="str">
        <f>IF(SUM(C2049:D2049)=0," ",SUM(C2049:D2049))</f>
        <v xml:space="preserve"> </v>
      </c>
      <c r="F2049" s="14"/>
      <c r="G2049" s="120" t="e">
        <f>VLOOKUP($B2049,Information!$C$8:$F$15,4,FALSE)</f>
        <v>#N/A</v>
      </c>
      <c r="H2049" s="210" t="str">
        <f>TEXT(A2049,"ddd")</f>
        <v>Sat</v>
      </c>
    </row>
    <row r="2050" spans="1:8" x14ac:dyDescent="0.25">
      <c r="A2050" s="13"/>
      <c r="B2050" s="14"/>
      <c r="C2050" s="39"/>
      <c r="D2050" s="39"/>
      <c r="E2050" s="36" t="str">
        <f>IF(SUM(C2050:D2050)=0," ",SUM(C2050:D2050))</f>
        <v xml:space="preserve"> </v>
      </c>
      <c r="F2050" s="14"/>
      <c r="G2050" s="120" t="e">
        <f>VLOOKUP($B2050,Information!$C$8:$F$15,4,FALSE)</f>
        <v>#N/A</v>
      </c>
      <c r="H2050" s="210" t="str">
        <f>TEXT(A2050,"ddd")</f>
        <v>Sat</v>
      </c>
    </row>
    <row r="2051" spans="1:8" x14ac:dyDescent="0.25">
      <c r="A2051" s="13"/>
      <c r="B2051" s="14"/>
      <c r="C2051" s="39"/>
      <c r="D2051" s="39"/>
      <c r="E2051" s="36" t="str">
        <f>IF(SUM(C2051:D2051)=0," ",SUM(C2051:D2051))</f>
        <v xml:space="preserve"> </v>
      </c>
      <c r="F2051" s="14"/>
      <c r="G2051" s="120" t="e">
        <f>VLOOKUP($B2051,Information!$C$8:$F$15,4,FALSE)</f>
        <v>#N/A</v>
      </c>
      <c r="H2051" s="210" t="str">
        <f>TEXT(A2051,"ddd")</f>
        <v>Sat</v>
      </c>
    </row>
    <row r="2052" spans="1:8" x14ac:dyDescent="0.25">
      <c r="A2052" s="13"/>
      <c r="B2052" s="14"/>
      <c r="C2052" s="39"/>
      <c r="D2052" s="39"/>
      <c r="E2052" s="36" t="str">
        <f>IF(SUM(C2052:D2052)=0," ",SUM(C2052:D2052))</f>
        <v xml:space="preserve"> </v>
      </c>
      <c r="F2052" s="14"/>
      <c r="G2052" s="120" t="e">
        <f>VLOOKUP($B2052,Information!$C$8:$F$15,4,FALSE)</f>
        <v>#N/A</v>
      </c>
      <c r="H2052" s="210" t="str">
        <f>TEXT(A2052,"ddd")</f>
        <v>Sat</v>
      </c>
    </row>
    <row r="2053" spans="1:8" x14ac:dyDescent="0.25">
      <c r="A2053" s="13"/>
      <c r="B2053" s="14"/>
      <c r="C2053" s="39"/>
      <c r="D2053" s="39"/>
      <c r="E2053" s="36" t="str">
        <f>IF(SUM(C2053:D2053)=0," ",SUM(C2053:D2053))</f>
        <v xml:space="preserve"> </v>
      </c>
      <c r="F2053" s="14"/>
      <c r="G2053" s="120" t="e">
        <f>VLOOKUP($B2053,Information!$C$8:$F$15,4,FALSE)</f>
        <v>#N/A</v>
      </c>
      <c r="H2053" s="210" t="str">
        <f>TEXT(A2053,"ddd")</f>
        <v>Sat</v>
      </c>
    </row>
    <row r="2054" spans="1:8" x14ac:dyDescent="0.25">
      <c r="A2054" s="13"/>
      <c r="B2054" s="14"/>
      <c r="C2054" s="39"/>
      <c r="D2054" s="39"/>
      <c r="E2054" s="36" t="str">
        <f>IF(SUM(C2054:D2054)=0," ",SUM(C2054:D2054))</f>
        <v xml:space="preserve"> </v>
      </c>
      <c r="F2054" s="14"/>
      <c r="G2054" s="120" t="e">
        <f>VLOOKUP($B2054,Information!$C$8:$F$15,4,FALSE)</f>
        <v>#N/A</v>
      </c>
      <c r="H2054" s="210" t="str">
        <f>TEXT(A2054,"ddd")</f>
        <v>Sat</v>
      </c>
    </row>
    <row r="2055" spans="1:8" x14ac:dyDescent="0.25">
      <c r="A2055" s="13"/>
      <c r="B2055" s="14"/>
      <c r="C2055" s="39"/>
      <c r="D2055" s="39"/>
      <c r="E2055" s="36" t="str">
        <f>IF(SUM(C2055:D2055)=0," ",SUM(C2055:D2055))</f>
        <v xml:space="preserve"> </v>
      </c>
      <c r="F2055" s="14"/>
      <c r="G2055" s="120" t="e">
        <f>VLOOKUP($B2055,Information!$C$8:$F$15,4,FALSE)</f>
        <v>#N/A</v>
      </c>
      <c r="H2055" s="210" t="str">
        <f>TEXT(A2055,"ddd")</f>
        <v>Sat</v>
      </c>
    </row>
    <row r="2056" spans="1:8" x14ac:dyDescent="0.25">
      <c r="A2056" s="13"/>
      <c r="B2056" s="14"/>
      <c r="C2056" s="39"/>
      <c r="D2056" s="39"/>
      <c r="E2056" s="36" t="str">
        <f>IF(SUM(C2056:D2056)=0," ",SUM(C2056:D2056))</f>
        <v xml:space="preserve"> </v>
      </c>
      <c r="F2056" s="14"/>
      <c r="G2056" s="120" t="e">
        <f>VLOOKUP($B2056,Information!$C$8:$F$15,4,FALSE)</f>
        <v>#N/A</v>
      </c>
      <c r="H2056" s="210" t="str">
        <f>TEXT(A2056,"ddd")</f>
        <v>Sat</v>
      </c>
    </row>
    <row r="2057" spans="1:8" x14ac:dyDescent="0.25">
      <c r="A2057" s="13"/>
      <c r="B2057" s="14"/>
      <c r="C2057" s="39"/>
      <c r="D2057" s="39"/>
      <c r="E2057" s="36" t="str">
        <f>IF(SUM(C2057:D2057)=0," ",SUM(C2057:D2057))</f>
        <v xml:space="preserve"> </v>
      </c>
      <c r="F2057" s="14"/>
      <c r="G2057" s="120" t="e">
        <f>VLOOKUP($B2057,Information!$C$8:$F$15,4,FALSE)</f>
        <v>#N/A</v>
      </c>
      <c r="H2057" s="210" t="str">
        <f>TEXT(A2057,"ddd")</f>
        <v>Sat</v>
      </c>
    </row>
    <row r="2058" spans="1:8" x14ac:dyDescent="0.25">
      <c r="A2058" s="13"/>
      <c r="B2058" s="14"/>
      <c r="C2058" s="39"/>
      <c r="D2058" s="39"/>
      <c r="E2058" s="36" t="str">
        <f>IF(SUM(C2058:D2058)=0," ",SUM(C2058:D2058))</f>
        <v xml:space="preserve"> </v>
      </c>
      <c r="F2058" s="14"/>
      <c r="G2058" s="120" t="e">
        <f>VLOOKUP($B2058,Information!$C$8:$F$15,4,FALSE)</f>
        <v>#N/A</v>
      </c>
      <c r="H2058" s="210" t="str">
        <f>TEXT(A2058,"ddd")</f>
        <v>Sat</v>
      </c>
    </row>
    <row r="2059" spans="1:8" x14ac:dyDescent="0.25">
      <c r="A2059" s="13"/>
      <c r="B2059" s="14"/>
      <c r="C2059" s="39"/>
      <c r="D2059" s="39"/>
      <c r="E2059" s="36" t="str">
        <f>IF(SUM(C2059:D2059)=0," ",SUM(C2059:D2059))</f>
        <v xml:space="preserve"> </v>
      </c>
      <c r="F2059" s="14"/>
      <c r="G2059" s="120" t="e">
        <f>VLOOKUP($B2059,Information!$C$8:$F$15,4,FALSE)</f>
        <v>#N/A</v>
      </c>
      <c r="H2059" s="210" t="str">
        <f>TEXT(A2059,"ddd")</f>
        <v>Sat</v>
      </c>
    </row>
    <row r="2060" spans="1:8" x14ac:dyDescent="0.25">
      <c r="A2060" s="13"/>
      <c r="B2060" s="14"/>
      <c r="C2060" s="39"/>
      <c r="D2060" s="39"/>
      <c r="E2060" s="36" t="str">
        <f>IF(SUM(C2060:D2060)=0," ",SUM(C2060:D2060))</f>
        <v xml:space="preserve"> </v>
      </c>
      <c r="F2060" s="14"/>
      <c r="G2060" s="120" t="e">
        <f>VLOOKUP($B2060,Information!$C$8:$F$15,4,FALSE)</f>
        <v>#N/A</v>
      </c>
      <c r="H2060" s="210" t="str">
        <f>TEXT(A2060,"ddd")</f>
        <v>Sat</v>
      </c>
    </row>
    <row r="2061" spans="1:8" x14ac:dyDescent="0.25">
      <c r="A2061" s="13"/>
      <c r="B2061" s="14"/>
      <c r="C2061" s="39"/>
      <c r="D2061" s="39"/>
      <c r="E2061" s="36" t="str">
        <f>IF(SUM(C2061:D2061)=0," ",SUM(C2061:D2061))</f>
        <v xml:space="preserve"> </v>
      </c>
      <c r="F2061" s="14"/>
      <c r="G2061" s="120" t="e">
        <f>VLOOKUP($B2061,Information!$C$8:$F$15,4,FALSE)</f>
        <v>#N/A</v>
      </c>
      <c r="H2061" s="210" t="str">
        <f>TEXT(A2061,"ddd")</f>
        <v>Sat</v>
      </c>
    </row>
    <row r="2062" spans="1:8" x14ac:dyDescent="0.25">
      <c r="A2062" s="13"/>
      <c r="B2062" s="14"/>
      <c r="C2062" s="39"/>
      <c r="D2062" s="39"/>
      <c r="E2062" s="36" t="str">
        <f>IF(SUM(C2062:D2062)=0," ",SUM(C2062:D2062))</f>
        <v xml:space="preserve"> </v>
      </c>
      <c r="F2062" s="14"/>
      <c r="G2062" s="120" t="e">
        <f>VLOOKUP($B2062,Information!$C$8:$F$15,4,FALSE)</f>
        <v>#N/A</v>
      </c>
      <c r="H2062" s="210" t="str">
        <f>TEXT(A2062,"ddd")</f>
        <v>Sat</v>
      </c>
    </row>
    <row r="2063" spans="1:8" x14ac:dyDescent="0.25">
      <c r="A2063" s="13"/>
      <c r="B2063" s="14"/>
      <c r="C2063" s="39"/>
      <c r="D2063" s="39"/>
      <c r="E2063" s="36" t="str">
        <f>IF(SUM(C2063:D2063)=0," ",SUM(C2063:D2063))</f>
        <v xml:space="preserve"> </v>
      </c>
      <c r="F2063" s="14"/>
      <c r="G2063" s="120" t="e">
        <f>VLOOKUP($B2063,Information!$C$8:$F$15,4,FALSE)</f>
        <v>#N/A</v>
      </c>
      <c r="H2063" s="210" t="str">
        <f>TEXT(A2063,"ddd")</f>
        <v>Sat</v>
      </c>
    </row>
    <row r="2064" spans="1:8" x14ac:dyDescent="0.25">
      <c r="A2064" s="13"/>
      <c r="B2064" s="14"/>
      <c r="C2064" s="39"/>
      <c r="D2064" s="39"/>
      <c r="E2064" s="36" t="str">
        <f>IF(SUM(C2064:D2064)=0," ",SUM(C2064:D2064))</f>
        <v xml:space="preserve"> </v>
      </c>
      <c r="F2064" s="14"/>
      <c r="G2064" s="120" t="e">
        <f>VLOOKUP($B2064,Information!$C$8:$F$15,4,FALSE)</f>
        <v>#N/A</v>
      </c>
      <c r="H2064" s="210" t="str">
        <f>TEXT(A2064,"ddd")</f>
        <v>Sat</v>
      </c>
    </row>
    <row r="2065" spans="1:8" x14ac:dyDescent="0.25">
      <c r="A2065" s="13"/>
      <c r="B2065" s="14"/>
      <c r="C2065" s="39"/>
      <c r="D2065" s="39"/>
      <c r="E2065" s="36" t="str">
        <f>IF(SUM(C2065:D2065)=0," ",SUM(C2065:D2065))</f>
        <v xml:space="preserve"> </v>
      </c>
      <c r="F2065" s="14"/>
      <c r="G2065" s="120" t="e">
        <f>VLOOKUP($B2065,Information!$C$8:$F$15,4,FALSE)</f>
        <v>#N/A</v>
      </c>
      <c r="H2065" s="210" t="str">
        <f>TEXT(A2065,"ddd")</f>
        <v>Sat</v>
      </c>
    </row>
    <row r="2066" spans="1:8" x14ac:dyDescent="0.25">
      <c r="A2066" s="13"/>
      <c r="B2066" s="14"/>
      <c r="C2066" s="39"/>
      <c r="D2066" s="39"/>
      <c r="E2066" s="36" t="str">
        <f>IF(SUM(C2066:D2066)=0," ",SUM(C2066:D2066))</f>
        <v xml:space="preserve"> </v>
      </c>
      <c r="F2066" s="14"/>
      <c r="G2066" s="120" t="e">
        <f>VLOOKUP($B2066,Information!$C$8:$F$15,4,FALSE)</f>
        <v>#N/A</v>
      </c>
      <c r="H2066" s="210" t="str">
        <f>TEXT(A2066,"ddd")</f>
        <v>Sat</v>
      </c>
    </row>
    <row r="2067" spans="1:8" x14ac:dyDescent="0.25">
      <c r="A2067" s="13"/>
      <c r="B2067" s="14"/>
      <c r="C2067" s="39"/>
      <c r="D2067" s="39"/>
      <c r="E2067" s="36" t="str">
        <f>IF(SUM(C2067:D2067)=0," ",SUM(C2067:D2067))</f>
        <v xml:space="preserve"> </v>
      </c>
      <c r="F2067" s="14"/>
      <c r="G2067" s="120" t="e">
        <f>VLOOKUP($B2067,Information!$C$8:$F$15,4,FALSE)</f>
        <v>#N/A</v>
      </c>
      <c r="H2067" s="210" t="str">
        <f>TEXT(A2067,"ddd")</f>
        <v>Sat</v>
      </c>
    </row>
    <row r="2068" spans="1:8" x14ac:dyDescent="0.25">
      <c r="A2068" s="13"/>
      <c r="B2068" s="14"/>
      <c r="C2068" s="39"/>
      <c r="D2068" s="39"/>
      <c r="E2068" s="36" t="str">
        <f>IF(SUM(C2068:D2068)=0," ",SUM(C2068:D2068))</f>
        <v xml:space="preserve"> </v>
      </c>
      <c r="F2068" s="14"/>
      <c r="G2068" s="120" t="e">
        <f>VLOOKUP($B2068,Information!$C$8:$F$15,4,FALSE)</f>
        <v>#N/A</v>
      </c>
      <c r="H2068" s="210" t="str">
        <f>TEXT(A2068,"ddd")</f>
        <v>Sat</v>
      </c>
    </row>
    <row r="2069" spans="1:8" x14ac:dyDescent="0.25">
      <c r="A2069" s="13"/>
      <c r="B2069" s="14"/>
      <c r="C2069" s="39"/>
      <c r="D2069" s="39"/>
      <c r="E2069" s="36" t="str">
        <f>IF(SUM(C2069:D2069)=0," ",SUM(C2069:D2069))</f>
        <v xml:space="preserve"> </v>
      </c>
      <c r="F2069" s="14"/>
      <c r="G2069" s="120" t="e">
        <f>VLOOKUP($B2069,Information!$C$8:$F$15,4,FALSE)</f>
        <v>#N/A</v>
      </c>
      <c r="H2069" s="210" t="str">
        <f>TEXT(A2069,"ddd")</f>
        <v>Sat</v>
      </c>
    </row>
    <row r="2070" spans="1:8" x14ac:dyDescent="0.25">
      <c r="A2070" s="13"/>
      <c r="B2070" s="14"/>
      <c r="C2070" s="39"/>
      <c r="D2070" s="39"/>
      <c r="E2070" s="36" t="str">
        <f>IF(SUM(C2070:D2070)=0," ",SUM(C2070:D2070))</f>
        <v xml:space="preserve"> </v>
      </c>
      <c r="F2070" s="14"/>
      <c r="G2070" s="120" t="e">
        <f>VLOOKUP($B2070,Information!$C$8:$F$15,4,FALSE)</f>
        <v>#N/A</v>
      </c>
      <c r="H2070" s="210" t="str">
        <f>TEXT(A2070,"ddd")</f>
        <v>Sat</v>
      </c>
    </row>
    <row r="2071" spans="1:8" x14ac:dyDescent="0.25">
      <c r="A2071" s="13"/>
      <c r="B2071" s="14"/>
      <c r="C2071" s="39"/>
      <c r="D2071" s="39"/>
      <c r="E2071" s="36" t="str">
        <f>IF(SUM(C2071:D2071)=0," ",SUM(C2071:D2071))</f>
        <v xml:space="preserve"> </v>
      </c>
      <c r="F2071" s="14"/>
      <c r="G2071" s="120" t="e">
        <f>VLOOKUP($B2071,Information!$C$8:$F$15,4,FALSE)</f>
        <v>#N/A</v>
      </c>
      <c r="H2071" s="210" t="str">
        <f>TEXT(A2071,"ddd")</f>
        <v>Sat</v>
      </c>
    </row>
    <row r="2072" spans="1:8" x14ac:dyDescent="0.25">
      <c r="A2072" s="13"/>
      <c r="B2072" s="14"/>
      <c r="C2072" s="39"/>
      <c r="D2072" s="39"/>
      <c r="E2072" s="36" t="str">
        <f>IF(SUM(C2072:D2072)=0," ",SUM(C2072:D2072))</f>
        <v xml:space="preserve"> </v>
      </c>
      <c r="F2072" s="14"/>
      <c r="G2072" s="120" t="e">
        <f>VLOOKUP($B2072,Information!$C$8:$F$15,4,FALSE)</f>
        <v>#N/A</v>
      </c>
      <c r="H2072" s="210" t="str">
        <f>TEXT(A2072,"ddd")</f>
        <v>Sat</v>
      </c>
    </row>
    <row r="2073" spans="1:8" x14ac:dyDescent="0.25">
      <c r="A2073" s="13"/>
      <c r="B2073" s="14"/>
      <c r="C2073" s="39"/>
      <c r="D2073" s="39"/>
      <c r="E2073" s="36" t="str">
        <f>IF(SUM(C2073:D2073)=0," ",SUM(C2073:D2073))</f>
        <v xml:space="preserve"> </v>
      </c>
      <c r="F2073" s="14"/>
      <c r="G2073" s="120" t="e">
        <f>VLOOKUP($B2073,Information!$C$8:$F$15,4,FALSE)</f>
        <v>#N/A</v>
      </c>
      <c r="H2073" s="210" t="str">
        <f>TEXT(A2073,"ddd")</f>
        <v>Sat</v>
      </c>
    </row>
    <row r="2074" spans="1:8" x14ac:dyDescent="0.25">
      <c r="A2074" s="13"/>
      <c r="B2074" s="14"/>
      <c r="C2074" s="39"/>
      <c r="D2074" s="39"/>
      <c r="E2074" s="36" t="str">
        <f>IF(SUM(C2074:D2074)=0," ",SUM(C2074:D2074))</f>
        <v xml:space="preserve"> </v>
      </c>
      <c r="F2074" s="14"/>
      <c r="G2074" s="120" t="e">
        <f>VLOOKUP($B2074,Information!$C$8:$F$15,4,FALSE)</f>
        <v>#N/A</v>
      </c>
      <c r="H2074" s="210" t="str">
        <f>TEXT(A2074,"ddd")</f>
        <v>Sat</v>
      </c>
    </row>
    <row r="2075" spans="1:8" x14ac:dyDescent="0.25">
      <c r="A2075" s="13"/>
      <c r="B2075" s="14"/>
      <c r="C2075" s="39"/>
      <c r="D2075" s="39"/>
      <c r="E2075" s="36" t="str">
        <f>IF(SUM(C2075:D2075)=0," ",SUM(C2075:D2075))</f>
        <v xml:space="preserve"> </v>
      </c>
      <c r="F2075" s="14"/>
      <c r="G2075" s="120" t="e">
        <f>VLOOKUP($B2075,Information!$C$8:$F$15,4,FALSE)</f>
        <v>#N/A</v>
      </c>
      <c r="H2075" s="210" t="str">
        <f>TEXT(A2075,"ddd")</f>
        <v>Sat</v>
      </c>
    </row>
    <row r="2076" spans="1:8" x14ac:dyDescent="0.25">
      <c r="A2076" s="13"/>
      <c r="B2076" s="14"/>
      <c r="C2076" s="39"/>
      <c r="D2076" s="39"/>
      <c r="E2076" s="36" t="str">
        <f>IF(SUM(C2076:D2076)=0," ",SUM(C2076:D2076))</f>
        <v xml:space="preserve"> </v>
      </c>
      <c r="F2076" s="14"/>
      <c r="G2076" s="120" t="e">
        <f>VLOOKUP($B2076,Information!$C$8:$F$15,4,FALSE)</f>
        <v>#N/A</v>
      </c>
      <c r="H2076" s="210" t="str">
        <f>TEXT(A2076,"ddd")</f>
        <v>Sat</v>
      </c>
    </row>
    <row r="2077" spans="1:8" x14ac:dyDescent="0.25">
      <c r="A2077" s="13"/>
      <c r="B2077" s="14"/>
      <c r="C2077" s="39"/>
      <c r="D2077" s="39"/>
      <c r="E2077" s="36" t="str">
        <f>IF(SUM(C2077:D2077)=0," ",SUM(C2077:D2077))</f>
        <v xml:space="preserve"> </v>
      </c>
      <c r="F2077" s="14"/>
      <c r="G2077" s="120" t="e">
        <f>VLOOKUP($B2077,Information!$C$8:$F$15,4,FALSE)</f>
        <v>#N/A</v>
      </c>
      <c r="H2077" s="210" t="str">
        <f>TEXT(A2077,"ddd")</f>
        <v>Sat</v>
      </c>
    </row>
    <row r="2078" spans="1:8" x14ac:dyDescent="0.25">
      <c r="A2078" s="13"/>
      <c r="B2078" s="14"/>
      <c r="C2078" s="39"/>
      <c r="D2078" s="39"/>
      <c r="E2078" s="36" t="str">
        <f>IF(SUM(C2078:D2078)=0," ",SUM(C2078:D2078))</f>
        <v xml:space="preserve"> </v>
      </c>
      <c r="F2078" s="14"/>
      <c r="G2078" s="120" t="e">
        <f>VLOOKUP($B2078,Information!$C$8:$F$15,4,FALSE)</f>
        <v>#N/A</v>
      </c>
      <c r="H2078" s="210" t="str">
        <f>TEXT(A2078,"ddd")</f>
        <v>Sat</v>
      </c>
    </row>
    <row r="2079" spans="1:8" x14ac:dyDescent="0.25">
      <c r="A2079" s="13"/>
      <c r="B2079" s="14"/>
      <c r="C2079" s="39"/>
      <c r="D2079" s="39"/>
      <c r="E2079" s="36" t="str">
        <f>IF(SUM(C2079:D2079)=0," ",SUM(C2079:D2079))</f>
        <v xml:space="preserve"> </v>
      </c>
      <c r="F2079" s="14"/>
      <c r="G2079" s="120" t="e">
        <f>VLOOKUP($B2079,Information!$C$8:$F$15,4,FALSE)</f>
        <v>#N/A</v>
      </c>
      <c r="H2079" s="210" t="str">
        <f>TEXT(A2079,"ddd")</f>
        <v>Sat</v>
      </c>
    </row>
    <row r="2080" spans="1:8" x14ac:dyDescent="0.25">
      <c r="A2080" s="13"/>
      <c r="B2080" s="14"/>
      <c r="C2080" s="39"/>
      <c r="D2080" s="39"/>
      <c r="E2080" s="36" t="str">
        <f>IF(SUM(C2080:D2080)=0," ",SUM(C2080:D2080))</f>
        <v xml:space="preserve"> </v>
      </c>
      <c r="F2080" s="14"/>
      <c r="G2080" s="120" t="e">
        <f>VLOOKUP($B2080,Information!$C$8:$F$15,4,FALSE)</f>
        <v>#N/A</v>
      </c>
      <c r="H2080" s="210" t="str">
        <f>TEXT(A2080,"ddd")</f>
        <v>Sat</v>
      </c>
    </row>
    <row r="2081" spans="1:8" x14ac:dyDescent="0.25">
      <c r="A2081" s="13"/>
      <c r="B2081" s="14"/>
      <c r="C2081" s="39"/>
      <c r="D2081" s="39"/>
      <c r="E2081" s="36" t="str">
        <f>IF(SUM(C2081:D2081)=0," ",SUM(C2081:D2081))</f>
        <v xml:space="preserve"> </v>
      </c>
      <c r="F2081" s="14"/>
      <c r="G2081" s="120" t="e">
        <f>VLOOKUP($B2081,Information!$C$8:$F$15,4,FALSE)</f>
        <v>#N/A</v>
      </c>
      <c r="H2081" s="210" t="str">
        <f>TEXT(A2081,"ddd")</f>
        <v>Sat</v>
      </c>
    </row>
    <row r="2082" spans="1:8" x14ac:dyDescent="0.25">
      <c r="A2082" s="13"/>
      <c r="B2082" s="14"/>
      <c r="C2082" s="39"/>
      <c r="D2082" s="39"/>
      <c r="E2082" s="36" t="str">
        <f>IF(SUM(C2082:D2082)=0," ",SUM(C2082:D2082))</f>
        <v xml:space="preserve"> </v>
      </c>
      <c r="F2082" s="14"/>
      <c r="G2082" s="120" t="e">
        <f>VLOOKUP($B2082,Information!$C$8:$F$15,4,FALSE)</f>
        <v>#N/A</v>
      </c>
      <c r="H2082" s="210" t="str">
        <f>TEXT(A2082,"ddd")</f>
        <v>Sat</v>
      </c>
    </row>
    <row r="2083" spans="1:8" x14ac:dyDescent="0.25">
      <c r="A2083" s="13"/>
      <c r="B2083" s="14"/>
      <c r="C2083" s="39"/>
      <c r="D2083" s="39"/>
      <c r="E2083" s="36" t="str">
        <f>IF(SUM(C2083:D2083)=0," ",SUM(C2083:D2083))</f>
        <v xml:space="preserve"> </v>
      </c>
      <c r="F2083" s="14"/>
      <c r="G2083" s="120" t="e">
        <f>VLOOKUP($B2083,Information!$C$8:$F$15,4,FALSE)</f>
        <v>#N/A</v>
      </c>
      <c r="H2083" s="210" t="str">
        <f>TEXT(A2083,"ddd")</f>
        <v>Sat</v>
      </c>
    </row>
    <row r="2084" spans="1:8" x14ac:dyDescent="0.25">
      <c r="A2084" s="13"/>
      <c r="B2084" s="14"/>
      <c r="C2084" s="39"/>
      <c r="D2084" s="39"/>
      <c r="E2084" s="36" t="str">
        <f>IF(SUM(C2084:D2084)=0," ",SUM(C2084:D2084))</f>
        <v xml:space="preserve"> </v>
      </c>
      <c r="F2084" s="14"/>
      <c r="G2084" s="120" t="e">
        <f>VLOOKUP($B2084,Information!$C$8:$F$15,4,FALSE)</f>
        <v>#N/A</v>
      </c>
      <c r="H2084" s="210" t="str">
        <f>TEXT(A2084,"ddd")</f>
        <v>Sat</v>
      </c>
    </row>
    <row r="2085" spans="1:8" x14ac:dyDescent="0.25">
      <c r="A2085" s="13"/>
      <c r="B2085" s="14"/>
      <c r="C2085" s="39"/>
      <c r="D2085" s="39"/>
      <c r="E2085" s="36" t="str">
        <f>IF(SUM(C2085:D2085)=0," ",SUM(C2085:D2085))</f>
        <v xml:space="preserve"> </v>
      </c>
      <c r="F2085" s="14"/>
      <c r="G2085" s="120" t="e">
        <f>VLOOKUP($B2085,Information!$C$8:$F$15,4,FALSE)</f>
        <v>#N/A</v>
      </c>
      <c r="H2085" s="210" t="str">
        <f>TEXT(A2085,"ddd")</f>
        <v>Sat</v>
      </c>
    </row>
    <row r="2086" spans="1:8" x14ac:dyDescent="0.25">
      <c r="A2086" s="13"/>
      <c r="B2086" s="14"/>
      <c r="C2086" s="39"/>
      <c r="D2086" s="39"/>
      <c r="E2086" s="36" t="str">
        <f>IF(SUM(C2086:D2086)=0," ",SUM(C2086:D2086))</f>
        <v xml:space="preserve"> </v>
      </c>
      <c r="F2086" s="14"/>
      <c r="G2086" s="120" t="e">
        <f>VLOOKUP($B2086,Information!$C$8:$F$15,4,FALSE)</f>
        <v>#N/A</v>
      </c>
      <c r="H2086" s="210" t="str">
        <f>TEXT(A2086,"ddd")</f>
        <v>Sat</v>
      </c>
    </row>
    <row r="2087" spans="1:8" x14ac:dyDescent="0.25">
      <c r="A2087" s="13"/>
      <c r="B2087" s="14"/>
      <c r="C2087" s="39"/>
      <c r="D2087" s="39"/>
      <c r="E2087" s="36" t="str">
        <f>IF(SUM(C2087:D2087)=0," ",SUM(C2087:D2087))</f>
        <v xml:space="preserve"> </v>
      </c>
      <c r="F2087" s="14"/>
      <c r="G2087" s="120" t="e">
        <f>VLOOKUP($B2087,Information!$C$8:$F$15,4,FALSE)</f>
        <v>#N/A</v>
      </c>
      <c r="H2087" s="210" t="str">
        <f>TEXT(A2087,"ddd")</f>
        <v>Sat</v>
      </c>
    </row>
    <row r="2088" spans="1:8" x14ac:dyDescent="0.25">
      <c r="A2088" s="13"/>
      <c r="B2088" s="14"/>
      <c r="C2088" s="39"/>
      <c r="D2088" s="39"/>
      <c r="E2088" s="36" t="str">
        <f>IF(SUM(C2088:D2088)=0," ",SUM(C2088:D2088))</f>
        <v xml:space="preserve"> </v>
      </c>
      <c r="F2088" s="14"/>
      <c r="G2088" s="120" t="e">
        <f>VLOOKUP($B2088,Information!$C$8:$F$15,4,FALSE)</f>
        <v>#N/A</v>
      </c>
      <c r="H2088" s="210" t="str">
        <f>TEXT(A2088,"ddd")</f>
        <v>Sat</v>
      </c>
    </row>
    <row r="2089" spans="1:8" x14ac:dyDescent="0.25">
      <c r="A2089" s="13"/>
      <c r="B2089" s="14"/>
      <c r="C2089" s="39"/>
      <c r="D2089" s="39"/>
      <c r="E2089" s="36" t="str">
        <f>IF(SUM(C2089:D2089)=0," ",SUM(C2089:D2089))</f>
        <v xml:space="preserve"> </v>
      </c>
      <c r="F2089" s="14"/>
      <c r="G2089" s="120" t="e">
        <f>VLOOKUP($B2089,Information!$C$8:$F$15,4,FALSE)</f>
        <v>#N/A</v>
      </c>
      <c r="H2089" s="210" t="str">
        <f>TEXT(A2089,"ddd")</f>
        <v>Sat</v>
      </c>
    </row>
    <row r="2090" spans="1:8" x14ac:dyDescent="0.25">
      <c r="A2090" s="13"/>
      <c r="B2090" s="14"/>
      <c r="C2090" s="39"/>
      <c r="D2090" s="39"/>
      <c r="E2090" s="36" t="str">
        <f>IF(SUM(C2090:D2090)=0," ",SUM(C2090:D2090))</f>
        <v xml:space="preserve"> </v>
      </c>
      <c r="F2090" s="14"/>
      <c r="G2090" s="120" t="e">
        <f>VLOOKUP($B2090,Information!$C$8:$F$15,4,FALSE)</f>
        <v>#N/A</v>
      </c>
      <c r="H2090" s="210" t="str">
        <f>TEXT(A2090,"ddd")</f>
        <v>Sat</v>
      </c>
    </row>
    <row r="2091" spans="1:8" x14ac:dyDescent="0.25">
      <c r="A2091" s="13"/>
      <c r="B2091" s="14"/>
      <c r="C2091" s="39"/>
      <c r="D2091" s="39"/>
      <c r="E2091" s="36" t="str">
        <f>IF(SUM(C2091:D2091)=0," ",SUM(C2091:D2091))</f>
        <v xml:space="preserve"> </v>
      </c>
      <c r="F2091" s="14"/>
      <c r="G2091" s="120" t="e">
        <f>VLOOKUP($B2091,Information!$C$8:$F$15,4,FALSE)</f>
        <v>#N/A</v>
      </c>
      <c r="H2091" s="210" t="str">
        <f>TEXT(A2091,"ddd")</f>
        <v>Sat</v>
      </c>
    </row>
    <row r="2092" spans="1:8" x14ac:dyDescent="0.25">
      <c r="A2092" s="13"/>
      <c r="B2092" s="14"/>
      <c r="C2092" s="39"/>
      <c r="D2092" s="39"/>
      <c r="E2092" s="36" t="str">
        <f>IF(SUM(C2092:D2092)=0," ",SUM(C2092:D2092))</f>
        <v xml:space="preserve"> </v>
      </c>
      <c r="F2092" s="14"/>
      <c r="G2092" s="120" t="e">
        <f>VLOOKUP($B2092,Information!$C$8:$F$15,4,FALSE)</f>
        <v>#N/A</v>
      </c>
      <c r="H2092" s="210" t="str">
        <f>TEXT(A2092,"ddd")</f>
        <v>Sat</v>
      </c>
    </row>
    <row r="2093" spans="1:8" x14ac:dyDescent="0.25">
      <c r="A2093" s="13"/>
      <c r="B2093" s="14"/>
      <c r="C2093" s="39"/>
      <c r="D2093" s="39"/>
      <c r="E2093" s="36" t="str">
        <f>IF(SUM(C2093:D2093)=0," ",SUM(C2093:D2093))</f>
        <v xml:space="preserve"> </v>
      </c>
      <c r="F2093" s="14"/>
      <c r="G2093" s="120" t="e">
        <f>VLOOKUP($B2093,Information!$C$8:$F$15,4,FALSE)</f>
        <v>#N/A</v>
      </c>
      <c r="H2093" s="210" t="str">
        <f>TEXT(A2093,"ddd")</f>
        <v>Sat</v>
      </c>
    </row>
    <row r="2094" spans="1:8" x14ac:dyDescent="0.25">
      <c r="A2094" s="13"/>
      <c r="B2094" s="14"/>
      <c r="C2094" s="39"/>
      <c r="D2094" s="39"/>
      <c r="E2094" s="36" t="str">
        <f>IF(SUM(C2094:D2094)=0," ",SUM(C2094:D2094))</f>
        <v xml:space="preserve"> </v>
      </c>
      <c r="F2094" s="14"/>
      <c r="G2094" s="120" t="e">
        <f>VLOOKUP($B2094,Information!$C$8:$F$15,4,FALSE)</f>
        <v>#N/A</v>
      </c>
      <c r="H2094" s="210" t="str">
        <f>TEXT(A2094,"ddd")</f>
        <v>Sat</v>
      </c>
    </row>
    <row r="2095" spans="1:8" x14ac:dyDescent="0.25">
      <c r="A2095" s="13"/>
      <c r="B2095" s="14"/>
      <c r="C2095" s="39"/>
      <c r="D2095" s="39"/>
      <c r="E2095" s="36" t="str">
        <f>IF(SUM(C2095:D2095)=0," ",SUM(C2095:D2095))</f>
        <v xml:space="preserve"> </v>
      </c>
      <c r="F2095" s="14"/>
      <c r="G2095" s="120" t="e">
        <f>VLOOKUP($B2095,Information!$C$8:$F$15,4,FALSE)</f>
        <v>#N/A</v>
      </c>
      <c r="H2095" s="210" t="str">
        <f>TEXT(A2095,"ddd")</f>
        <v>Sat</v>
      </c>
    </row>
    <row r="2096" spans="1:8" x14ac:dyDescent="0.25">
      <c r="A2096" s="13"/>
      <c r="B2096" s="14"/>
      <c r="C2096" s="39"/>
      <c r="D2096" s="39"/>
      <c r="E2096" s="36" t="str">
        <f>IF(SUM(C2096:D2096)=0," ",SUM(C2096:D2096))</f>
        <v xml:space="preserve"> </v>
      </c>
      <c r="F2096" s="14"/>
      <c r="G2096" s="120" t="e">
        <f>VLOOKUP($B2096,Information!$C$8:$F$15,4,FALSE)</f>
        <v>#N/A</v>
      </c>
      <c r="H2096" s="210" t="str">
        <f>TEXT(A2096,"ddd")</f>
        <v>Sat</v>
      </c>
    </row>
    <row r="2097" spans="1:8" x14ac:dyDescent="0.25">
      <c r="A2097" s="13"/>
      <c r="B2097" s="14"/>
      <c r="C2097" s="39"/>
      <c r="D2097" s="39"/>
      <c r="E2097" s="36" t="str">
        <f>IF(SUM(C2097:D2097)=0," ",SUM(C2097:D2097))</f>
        <v xml:space="preserve"> </v>
      </c>
      <c r="F2097" s="14"/>
      <c r="G2097" s="120" t="e">
        <f>VLOOKUP($B2097,Information!$C$8:$F$15,4,FALSE)</f>
        <v>#N/A</v>
      </c>
      <c r="H2097" s="210" t="str">
        <f>TEXT(A2097,"ddd")</f>
        <v>Sat</v>
      </c>
    </row>
    <row r="2098" spans="1:8" x14ac:dyDescent="0.25">
      <c r="A2098" s="13"/>
      <c r="B2098" s="14"/>
      <c r="C2098" s="39"/>
      <c r="D2098" s="39"/>
      <c r="E2098" s="36" t="str">
        <f>IF(SUM(C2098:D2098)=0," ",SUM(C2098:D2098))</f>
        <v xml:space="preserve"> </v>
      </c>
      <c r="F2098" s="14"/>
      <c r="G2098" s="120" t="e">
        <f>VLOOKUP($B2098,Information!$C$8:$F$15,4,FALSE)</f>
        <v>#N/A</v>
      </c>
      <c r="H2098" s="210" t="str">
        <f>TEXT(A2098,"ddd")</f>
        <v>Sat</v>
      </c>
    </row>
    <row r="2099" spans="1:8" x14ac:dyDescent="0.25">
      <c r="A2099" s="13"/>
      <c r="B2099" s="14"/>
      <c r="C2099" s="39"/>
      <c r="D2099" s="39"/>
      <c r="E2099" s="36" t="str">
        <f>IF(SUM(C2099:D2099)=0," ",SUM(C2099:D2099))</f>
        <v xml:space="preserve"> </v>
      </c>
      <c r="F2099" s="14"/>
      <c r="G2099" s="120" t="e">
        <f>VLOOKUP($B2099,Information!$C$8:$F$15,4,FALSE)</f>
        <v>#N/A</v>
      </c>
      <c r="H2099" s="210" t="str">
        <f>TEXT(A2099,"ddd")</f>
        <v>Sat</v>
      </c>
    </row>
    <row r="2100" spans="1:8" x14ac:dyDescent="0.25">
      <c r="A2100" s="13"/>
      <c r="B2100" s="14"/>
      <c r="C2100" s="39"/>
      <c r="D2100" s="39"/>
      <c r="E2100" s="36" t="str">
        <f>IF(SUM(C2100:D2100)=0," ",SUM(C2100:D2100))</f>
        <v xml:space="preserve"> </v>
      </c>
      <c r="F2100" s="14"/>
      <c r="G2100" s="120" t="e">
        <f>VLOOKUP($B2100,Information!$C$8:$F$15,4,FALSE)</f>
        <v>#N/A</v>
      </c>
      <c r="H2100" s="210" t="str">
        <f>TEXT(A2100,"ddd")</f>
        <v>Sat</v>
      </c>
    </row>
    <row r="2101" spans="1:8" x14ac:dyDescent="0.25">
      <c r="A2101" s="13"/>
      <c r="B2101" s="14"/>
      <c r="C2101" s="39"/>
      <c r="D2101" s="39"/>
      <c r="E2101" s="36" t="str">
        <f>IF(SUM(C2101:D2101)=0," ",SUM(C2101:D2101))</f>
        <v xml:space="preserve"> </v>
      </c>
      <c r="F2101" s="14"/>
      <c r="G2101" s="120" t="e">
        <f>VLOOKUP($B2101,Information!$C$8:$F$15,4,FALSE)</f>
        <v>#N/A</v>
      </c>
      <c r="H2101" s="210" t="str">
        <f>TEXT(A2101,"ddd")</f>
        <v>Sat</v>
      </c>
    </row>
    <row r="2102" spans="1:8" x14ac:dyDescent="0.25">
      <c r="A2102" s="13"/>
      <c r="B2102" s="14"/>
      <c r="C2102" s="39"/>
      <c r="D2102" s="39"/>
      <c r="E2102" s="36" t="str">
        <f>IF(SUM(C2102:D2102)=0," ",SUM(C2102:D2102))</f>
        <v xml:space="preserve"> </v>
      </c>
      <c r="F2102" s="14"/>
      <c r="G2102" s="120" t="e">
        <f>VLOOKUP($B2102,Information!$C$8:$F$15,4,FALSE)</f>
        <v>#N/A</v>
      </c>
      <c r="H2102" s="210" t="str">
        <f>TEXT(A2102,"ddd")</f>
        <v>Sat</v>
      </c>
    </row>
    <row r="2103" spans="1:8" x14ac:dyDescent="0.25">
      <c r="A2103" s="13"/>
      <c r="B2103" s="14"/>
      <c r="C2103" s="39"/>
      <c r="D2103" s="39"/>
      <c r="E2103" s="36" t="str">
        <f>IF(SUM(C2103:D2103)=0," ",SUM(C2103:D2103))</f>
        <v xml:space="preserve"> </v>
      </c>
      <c r="F2103" s="14"/>
      <c r="G2103" s="120" t="e">
        <f>VLOOKUP($B2103,Information!$C$8:$F$15,4,FALSE)</f>
        <v>#N/A</v>
      </c>
      <c r="H2103" s="210" t="str">
        <f>TEXT(A2103,"ddd")</f>
        <v>Sat</v>
      </c>
    </row>
    <row r="2104" spans="1:8" x14ac:dyDescent="0.25">
      <c r="A2104" s="13"/>
      <c r="B2104" s="14"/>
      <c r="C2104" s="39"/>
      <c r="D2104" s="39"/>
      <c r="E2104" s="36" t="str">
        <f>IF(SUM(C2104:D2104)=0," ",SUM(C2104:D2104))</f>
        <v xml:space="preserve"> </v>
      </c>
      <c r="F2104" s="14"/>
      <c r="G2104" s="120" t="e">
        <f>VLOOKUP($B2104,Information!$C$8:$F$15,4,FALSE)</f>
        <v>#N/A</v>
      </c>
      <c r="H2104" s="210" t="str">
        <f>TEXT(A2104,"ddd")</f>
        <v>Sat</v>
      </c>
    </row>
    <row r="2105" spans="1:8" x14ac:dyDescent="0.25">
      <c r="A2105" s="13"/>
      <c r="B2105" s="14"/>
      <c r="C2105" s="39"/>
      <c r="D2105" s="39"/>
      <c r="E2105" s="36" t="str">
        <f>IF(SUM(C2105:D2105)=0," ",SUM(C2105:D2105))</f>
        <v xml:space="preserve"> </v>
      </c>
      <c r="F2105" s="14"/>
      <c r="G2105" s="120" t="e">
        <f>VLOOKUP($B2105,Information!$C$8:$F$15,4,FALSE)</f>
        <v>#N/A</v>
      </c>
      <c r="H2105" s="210" t="str">
        <f>TEXT(A2105,"ddd")</f>
        <v>Sat</v>
      </c>
    </row>
    <row r="2106" spans="1:8" x14ac:dyDescent="0.25">
      <c r="A2106" s="13"/>
      <c r="B2106" s="14"/>
      <c r="C2106" s="39"/>
      <c r="D2106" s="39"/>
      <c r="E2106" s="36" t="str">
        <f>IF(SUM(C2106:D2106)=0," ",SUM(C2106:D2106))</f>
        <v xml:space="preserve"> </v>
      </c>
      <c r="F2106" s="14"/>
      <c r="G2106" s="120" t="e">
        <f>VLOOKUP($B2106,Information!$C$8:$F$15,4,FALSE)</f>
        <v>#N/A</v>
      </c>
      <c r="H2106" s="210" t="str">
        <f>TEXT(A2106,"ddd")</f>
        <v>Sat</v>
      </c>
    </row>
    <row r="2107" spans="1:8" x14ac:dyDescent="0.25">
      <c r="A2107" s="13"/>
      <c r="B2107" s="14"/>
      <c r="C2107" s="39"/>
      <c r="D2107" s="39"/>
      <c r="E2107" s="36" t="str">
        <f>IF(SUM(C2107:D2107)=0," ",SUM(C2107:D2107))</f>
        <v xml:space="preserve"> </v>
      </c>
      <c r="F2107" s="14"/>
      <c r="G2107" s="120" t="e">
        <f>VLOOKUP($B2107,Information!$C$8:$F$15,4,FALSE)</f>
        <v>#N/A</v>
      </c>
      <c r="H2107" s="210" t="str">
        <f>TEXT(A2107,"ddd")</f>
        <v>Sat</v>
      </c>
    </row>
    <row r="2108" spans="1:8" x14ac:dyDescent="0.25">
      <c r="A2108" s="13"/>
      <c r="B2108" s="14"/>
      <c r="C2108" s="39"/>
      <c r="D2108" s="39"/>
      <c r="E2108" s="36" t="str">
        <f>IF(SUM(C2108:D2108)=0," ",SUM(C2108:D2108))</f>
        <v xml:space="preserve"> </v>
      </c>
      <c r="F2108" s="14"/>
      <c r="G2108" s="120" t="e">
        <f>VLOOKUP($B2108,Information!$C$8:$F$15,4,FALSE)</f>
        <v>#N/A</v>
      </c>
      <c r="H2108" s="210" t="str">
        <f>TEXT(A2108,"ddd")</f>
        <v>Sat</v>
      </c>
    </row>
    <row r="2109" spans="1:8" x14ac:dyDescent="0.25">
      <c r="A2109" s="13"/>
      <c r="B2109" s="14"/>
      <c r="C2109" s="39"/>
      <c r="D2109" s="39"/>
      <c r="E2109" s="36" t="str">
        <f>IF(SUM(C2109:D2109)=0," ",SUM(C2109:D2109))</f>
        <v xml:space="preserve"> </v>
      </c>
      <c r="F2109" s="14"/>
      <c r="G2109" s="120" t="e">
        <f>VLOOKUP($B2109,Information!$C$8:$F$15,4,FALSE)</f>
        <v>#N/A</v>
      </c>
      <c r="H2109" s="210" t="str">
        <f>TEXT(A2109,"ddd")</f>
        <v>Sat</v>
      </c>
    </row>
    <row r="2110" spans="1:8" x14ac:dyDescent="0.25">
      <c r="A2110" s="13"/>
      <c r="B2110" s="14"/>
      <c r="C2110" s="39"/>
      <c r="D2110" s="39"/>
      <c r="E2110" s="36" t="str">
        <f>IF(SUM(C2110:D2110)=0," ",SUM(C2110:D2110))</f>
        <v xml:space="preserve"> </v>
      </c>
      <c r="F2110" s="14"/>
      <c r="G2110" s="120" t="e">
        <f>VLOOKUP($B2110,Information!$C$8:$F$15,4,FALSE)</f>
        <v>#N/A</v>
      </c>
      <c r="H2110" s="210" t="str">
        <f>TEXT(A2110,"ddd")</f>
        <v>Sat</v>
      </c>
    </row>
    <row r="2111" spans="1:8" x14ac:dyDescent="0.25">
      <c r="A2111" s="13"/>
      <c r="B2111" s="14"/>
      <c r="C2111" s="39"/>
      <c r="D2111" s="39"/>
      <c r="E2111" s="36" t="str">
        <f>IF(SUM(C2111:D2111)=0," ",SUM(C2111:D2111))</f>
        <v xml:space="preserve"> </v>
      </c>
      <c r="F2111" s="14"/>
      <c r="G2111" s="120" t="e">
        <f>VLOOKUP($B2111,Information!$C$8:$F$15,4,FALSE)</f>
        <v>#N/A</v>
      </c>
      <c r="H2111" s="210" t="str">
        <f>TEXT(A2111,"ddd")</f>
        <v>Sat</v>
      </c>
    </row>
    <row r="2112" spans="1:8" x14ac:dyDescent="0.25">
      <c r="A2112" s="13"/>
      <c r="B2112" s="14"/>
      <c r="C2112" s="39"/>
      <c r="D2112" s="39"/>
      <c r="E2112" s="36" t="str">
        <f>IF(SUM(C2112:D2112)=0," ",SUM(C2112:D2112))</f>
        <v xml:space="preserve"> </v>
      </c>
      <c r="F2112" s="14"/>
      <c r="G2112" s="120" t="e">
        <f>VLOOKUP($B2112,Information!$C$8:$F$15,4,FALSE)</f>
        <v>#N/A</v>
      </c>
      <c r="H2112" s="210" t="str">
        <f>TEXT(A2112,"ddd")</f>
        <v>Sat</v>
      </c>
    </row>
    <row r="2113" spans="1:8" x14ac:dyDescent="0.25">
      <c r="A2113" s="13"/>
      <c r="B2113" s="14"/>
      <c r="C2113" s="39"/>
      <c r="D2113" s="39"/>
      <c r="E2113" s="36" t="str">
        <f>IF(SUM(C2113:D2113)=0," ",SUM(C2113:D2113))</f>
        <v xml:space="preserve"> </v>
      </c>
      <c r="F2113" s="14"/>
      <c r="G2113" s="120" t="e">
        <f>VLOOKUP($B2113,Information!$C$8:$F$15,4,FALSE)</f>
        <v>#N/A</v>
      </c>
      <c r="H2113" s="210" t="str">
        <f>TEXT(A2113,"ddd")</f>
        <v>Sat</v>
      </c>
    </row>
    <row r="2114" spans="1:8" x14ac:dyDescent="0.25">
      <c r="A2114" s="13"/>
      <c r="B2114" s="14"/>
      <c r="C2114" s="39"/>
      <c r="D2114" s="39"/>
      <c r="E2114" s="36" t="str">
        <f>IF(SUM(C2114:D2114)=0," ",SUM(C2114:D2114))</f>
        <v xml:space="preserve"> </v>
      </c>
      <c r="F2114" s="14"/>
      <c r="G2114" s="120" t="e">
        <f>VLOOKUP($B2114,Information!$C$8:$F$15,4,FALSE)</f>
        <v>#N/A</v>
      </c>
      <c r="H2114" s="210" t="str">
        <f>TEXT(A2114,"ddd")</f>
        <v>Sat</v>
      </c>
    </row>
    <row r="2115" spans="1:8" x14ac:dyDescent="0.25">
      <c r="A2115" s="13"/>
      <c r="B2115" s="14"/>
      <c r="C2115" s="39"/>
      <c r="D2115" s="39"/>
      <c r="E2115" s="36" t="str">
        <f>IF(SUM(C2115:D2115)=0," ",SUM(C2115:D2115))</f>
        <v xml:space="preserve"> </v>
      </c>
      <c r="F2115" s="14"/>
      <c r="G2115" s="120" t="e">
        <f>VLOOKUP($B2115,Information!$C$8:$F$15,4,FALSE)</f>
        <v>#N/A</v>
      </c>
      <c r="H2115" s="210" t="str">
        <f>TEXT(A2115,"ddd")</f>
        <v>Sat</v>
      </c>
    </row>
    <row r="2116" spans="1:8" x14ac:dyDescent="0.25">
      <c r="A2116" s="13"/>
      <c r="B2116" s="14"/>
      <c r="C2116" s="39"/>
      <c r="D2116" s="39"/>
      <c r="E2116" s="36" t="str">
        <f>IF(SUM(C2116:D2116)=0," ",SUM(C2116:D2116))</f>
        <v xml:space="preserve"> </v>
      </c>
      <c r="F2116" s="14"/>
      <c r="G2116" s="120" t="e">
        <f>VLOOKUP($B2116,Information!$C$8:$F$15,4,FALSE)</f>
        <v>#N/A</v>
      </c>
      <c r="H2116" s="210" t="str">
        <f>TEXT(A2116,"ddd")</f>
        <v>Sat</v>
      </c>
    </row>
    <row r="2117" spans="1:8" x14ac:dyDescent="0.25">
      <c r="A2117" s="13"/>
      <c r="B2117" s="14"/>
      <c r="C2117" s="39"/>
      <c r="D2117" s="39"/>
      <c r="E2117" s="36" t="str">
        <f>IF(SUM(C2117:D2117)=0," ",SUM(C2117:D2117))</f>
        <v xml:space="preserve"> </v>
      </c>
      <c r="F2117" s="14"/>
      <c r="G2117" s="120" t="e">
        <f>VLOOKUP($B2117,Information!$C$8:$F$15,4,FALSE)</f>
        <v>#N/A</v>
      </c>
      <c r="H2117" s="210" t="str">
        <f>TEXT(A2117,"ddd")</f>
        <v>Sat</v>
      </c>
    </row>
    <row r="2118" spans="1:8" x14ac:dyDescent="0.25">
      <c r="A2118" s="13"/>
      <c r="B2118" s="14"/>
      <c r="C2118" s="39"/>
      <c r="D2118" s="39"/>
      <c r="E2118" s="36" t="str">
        <f>IF(SUM(C2118:D2118)=0," ",SUM(C2118:D2118))</f>
        <v xml:space="preserve"> </v>
      </c>
      <c r="F2118" s="14"/>
      <c r="G2118" s="120" t="e">
        <f>VLOOKUP($B2118,Information!$C$8:$F$15,4,FALSE)</f>
        <v>#N/A</v>
      </c>
      <c r="H2118" s="210" t="str">
        <f>TEXT(A2118,"ddd")</f>
        <v>Sat</v>
      </c>
    </row>
    <row r="2119" spans="1:8" x14ac:dyDescent="0.25">
      <c r="A2119" s="13"/>
      <c r="B2119" s="14"/>
      <c r="C2119" s="39"/>
      <c r="D2119" s="39"/>
      <c r="E2119" s="36" t="str">
        <f>IF(SUM(C2119:D2119)=0," ",SUM(C2119:D2119))</f>
        <v xml:space="preserve"> </v>
      </c>
      <c r="F2119" s="14"/>
      <c r="G2119" s="120" t="e">
        <f>VLOOKUP($B2119,Information!$C$8:$F$15,4,FALSE)</f>
        <v>#N/A</v>
      </c>
      <c r="H2119" s="210" t="str">
        <f>TEXT(A2119,"ddd")</f>
        <v>Sat</v>
      </c>
    </row>
    <row r="2120" spans="1:8" x14ac:dyDescent="0.25">
      <c r="A2120" s="13"/>
      <c r="B2120" s="14"/>
      <c r="C2120" s="39"/>
      <c r="D2120" s="39"/>
      <c r="E2120" s="36" t="str">
        <f>IF(SUM(C2120:D2120)=0," ",SUM(C2120:D2120))</f>
        <v xml:space="preserve"> </v>
      </c>
      <c r="F2120" s="14"/>
      <c r="G2120" s="120" t="e">
        <f>VLOOKUP($B2120,Information!$C$8:$F$15,4,FALSE)</f>
        <v>#N/A</v>
      </c>
      <c r="H2120" s="210" t="str">
        <f>TEXT(A2120,"ddd")</f>
        <v>Sat</v>
      </c>
    </row>
    <row r="2121" spans="1:8" x14ac:dyDescent="0.25">
      <c r="A2121" s="13"/>
      <c r="B2121" s="14"/>
      <c r="C2121" s="39"/>
      <c r="D2121" s="39"/>
      <c r="E2121" s="36" t="str">
        <f>IF(SUM(C2121:D2121)=0," ",SUM(C2121:D2121))</f>
        <v xml:space="preserve"> </v>
      </c>
      <c r="F2121" s="14"/>
      <c r="G2121" s="120" t="e">
        <f>VLOOKUP($B2121,Information!$C$8:$F$15,4,FALSE)</f>
        <v>#N/A</v>
      </c>
      <c r="H2121" s="210" t="str">
        <f>TEXT(A2121,"ddd")</f>
        <v>Sat</v>
      </c>
    </row>
    <row r="2122" spans="1:8" x14ac:dyDescent="0.25">
      <c r="A2122" s="13"/>
      <c r="B2122" s="14"/>
      <c r="C2122" s="39"/>
      <c r="D2122" s="39"/>
      <c r="E2122" s="36" t="str">
        <f>IF(SUM(C2122:D2122)=0," ",SUM(C2122:D2122))</f>
        <v xml:space="preserve"> </v>
      </c>
      <c r="F2122" s="14"/>
      <c r="G2122" s="120" t="e">
        <f>VLOOKUP($B2122,Information!$C$8:$F$15,4,FALSE)</f>
        <v>#N/A</v>
      </c>
      <c r="H2122" s="210" t="str">
        <f>TEXT(A2122,"ddd")</f>
        <v>Sat</v>
      </c>
    </row>
    <row r="2123" spans="1:8" x14ac:dyDescent="0.25">
      <c r="A2123" s="13"/>
      <c r="B2123" s="14"/>
      <c r="C2123" s="39"/>
      <c r="D2123" s="39"/>
      <c r="E2123" s="36" t="str">
        <f>IF(SUM(C2123:D2123)=0," ",SUM(C2123:D2123))</f>
        <v xml:space="preserve"> </v>
      </c>
      <c r="F2123" s="14"/>
      <c r="G2123" s="120" t="e">
        <f>VLOOKUP($B2123,Information!$C$8:$F$15,4,FALSE)</f>
        <v>#N/A</v>
      </c>
      <c r="H2123" s="210" t="str">
        <f>TEXT(A2123,"ddd")</f>
        <v>Sat</v>
      </c>
    </row>
    <row r="2124" spans="1:8" x14ac:dyDescent="0.25">
      <c r="A2124" s="13"/>
      <c r="B2124" s="14"/>
      <c r="C2124" s="39"/>
      <c r="D2124" s="39"/>
      <c r="E2124" s="36" t="str">
        <f>IF(SUM(C2124:D2124)=0," ",SUM(C2124:D2124))</f>
        <v xml:space="preserve"> </v>
      </c>
      <c r="F2124" s="14"/>
      <c r="G2124" s="120" t="e">
        <f>VLOOKUP($B2124,Information!$C$8:$F$15,4,FALSE)</f>
        <v>#N/A</v>
      </c>
      <c r="H2124" s="210" t="str">
        <f>TEXT(A2124,"ddd")</f>
        <v>Sat</v>
      </c>
    </row>
    <row r="2125" spans="1:8" x14ac:dyDescent="0.25">
      <c r="A2125" s="13"/>
      <c r="B2125" s="14"/>
      <c r="C2125" s="39"/>
      <c r="D2125" s="39"/>
      <c r="E2125" s="36" t="str">
        <f>IF(SUM(C2125:D2125)=0," ",SUM(C2125:D2125))</f>
        <v xml:space="preserve"> </v>
      </c>
      <c r="F2125" s="14"/>
      <c r="G2125" s="120" t="e">
        <f>VLOOKUP($B2125,Information!$C$8:$F$15,4,FALSE)</f>
        <v>#N/A</v>
      </c>
      <c r="H2125" s="210" t="str">
        <f>TEXT(A2125,"ddd")</f>
        <v>Sat</v>
      </c>
    </row>
    <row r="2126" spans="1:8" x14ac:dyDescent="0.25">
      <c r="A2126" s="13"/>
      <c r="B2126" s="14"/>
      <c r="C2126" s="39"/>
      <c r="D2126" s="39"/>
      <c r="E2126" s="36" t="str">
        <f>IF(SUM(C2126:D2126)=0," ",SUM(C2126:D2126))</f>
        <v xml:space="preserve"> </v>
      </c>
      <c r="F2126" s="14"/>
      <c r="G2126" s="120" t="e">
        <f>VLOOKUP($B2126,Information!$C$8:$F$15,4,FALSE)</f>
        <v>#N/A</v>
      </c>
      <c r="H2126" s="210" t="str">
        <f>TEXT(A2126,"ddd")</f>
        <v>Sat</v>
      </c>
    </row>
    <row r="2127" spans="1:8" x14ac:dyDescent="0.25">
      <c r="A2127" s="13"/>
      <c r="B2127" s="14"/>
      <c r="C2127" s="39"/>
      <c r="D2127" s="39"/>
      <c r="E2127" s="36" t="str">
        <f>IF(SUM(C2127:D2127)=0," ",SUM(C2127:D2127))</f>
        <v xml:space="preserve"> </v>
      </c>
      <c r="F2127" s="14"/>
      <c r="G2127" s="120" t="e">
        <f>VLOOKUP($B2127,Information!$C$8:$F$15,4,FALSE)</f>
        <v>#N/A</v>
      </c>
      <c r="H2127" s="210" t="str">
        <f>TEXT(A2127,"ddd")</f>
        <v>Sat</v>
      </c>
    </row>
    <row r="2128" spans="1:8" x14ac:dyDescent="0.25">
      <c r="A2128" s="13"/>
      <c r="B2128" s="14"/>
      <c r="C2128" s="39"/>
      <c r="D2128" s="39"/>
      <c r="E2128" s="36" t="str">
        <f>IF(SUM(C2128:D2128)=0," ",SUM(C2128:D2128))</f>
        <v xml:space="preserve"> </v>
      </c>
      <c r="F2128" s="14"/>
      <c r="G2128" s="120" t="e">
        <f>VLOOKUP($B2128,Information!$C$8:$F$15,4,FALSE)</f>
        <v>#N/A</v>
      </c>
      <c r="H2128" s="210" t="str">
        <f>TEXT(A2128,"ddd")</f>
        <v>Sat</v>
      </c>
    </row>
    <row r="2129" spans="1:8" x14ac:dyDescent="0.25">
      <c r="A2129" s="13"/>
      <c r="B2129" s="14"/>
      <c r="C2129" s="39"/>
      <c r="D2129" s="39"/>
      <c r="E2129" s="36" t="str">
        <f>IF(SUM(C2129:D2129)=0," ",SUM(C2129:D2129))</f>
        <v xml:space="preserve"> </v>
      </c>
      <c r="F2129" s="14"/>
      <c r="G2129" s="120" t="e">
        <f>VLOOKUP($B2129,Information!$C$8:$F$15,4,FALSE)</f>
        <v>#N/A</v>
      </c>
      <c r="H2129" s="210" t="str">
        <f>TEXT(A2129,"ddd")</f>
        <v>Sat</v>
      </c>
    </row>
    <row r="2130" spans="1:8" x14ac:dyDescent="0.25">
      <c r="A2130" s="13"/>
      <c r="B2130" s="14"/>
      <c r="C2130" s="39"/>
      <c r="D2130" s="39"/>
      <c r="E2130" s="36" t="str">
        <f>IF(SUM(C2130:D2130)=0," ",SUM(C2130:D2130))</f>
        <v xml:space="preserve"> </v>
      </c>
      <c r="F2130" s="14"/>
      <c r="G2130" s="120" t="e">
        <f>VLOOKUP($B2130,Information!$C$8:$F$15,4,FALSE)</f>
        <v>#N/A</v>
      </c>
      <c r="H2130" s="210" t="str">
        <f>TEXT(A2130,"ddd")</f>
        <v>Sat</v>
      </c>
    </row>
    <row r="2131" spans="1:8" x14ac:dyDescent="0.25">
      <c r="A2131" s="13"/>
      <c r="B2131" s="14"/>
      <c r="C2131" s="39"/>
      <c r="D2131" s="39"/>
      <c r="E2131" s="36" t="str">
        <f>IF(SUM(C2131:D2131)=0," ",SUM(C2131:D2131))</f>
        <v xml:space="preserve"> </v>
      </c>
      <c r="F2131" s="14"/>
      <c r="G2131" s="120" t="e">
        <f>VLOOKUP($B2131,Information!$C$8:$F$15,4,FALSE)</f>
        <v>#N/A</v>
      </c>
      <c r="H2131" s="210" t="str">
        <f>TEXT(A2131,"ddd")</f>
        <v>Sat</v>
      </c>
    </row>
    <row r="2132" spans="1:8" x14ac:dyDescent="0.25">
      <c r="A2132" s="13"/>
      <c r="B2132" s="14"/>
      <c r="C2132" s="39"/>
      <c r="D2132" s="39"/>
      <c r="E2132" s="36" t="str">
        <f>IF(SUM(C2132:D2132)=0," ",SUM(C2132:D2132))</f>
        <v xml:space="preserve"> </v>
      </c>
      <c r="F2132" s="14"/>
      <c r="G2132" s="120" t="e">
        <f>VLOOKUP($B2132,Information!$C$8:$F$15,4,FALSE)</f>
        <v>#N/A</v>
      </c>
      <c r="H2132" s="210" t="str">
        <f>TEXT(A2132,"ddd")</f>
        <v>Sat</v>
      </c>
    </row>
    <row r="2133" spans="1:8" x14ac:dyDescent="0.25">
      <c r="A2133" s="13"/>
      <c r="B2133" s="14"/>
      <c r="C2133" s="39"/>
      <c r="D2133" s="39"/>
      <c r="E2133" s="36" t="str">
        <f>IF(SUM(C2133:D2133)=0," ",SUM(C2133:D2133))</f>
        <v xml:space="preserve"> </v>
      </c>
      <c r="F2133" s="14"/>
      <c r="G2133" s="120" t="e">
        <f>VLOOKUP($B2133,Information!$C$8:$F$15,4,FALSE)</f>
        <v>#N/A</v>
      </c>
      <c r="H2133" s="210" t="str">
        <f>TEXT(A2133,"ddd")</f>
        <v>Sat</v>
      </c>
    </row>
    <row r="2134" spans="1:8" x14ac:dyDescent="0.25">
      <c r="A2134" s="13"/>
      <c r="B2134" s="14"/>
      <c r="C2134" s="39"/>
      <c r="D2134" s="39"/>
      <c r="E2134" s="36" t="str">
        <f>IF(SUM(C2134:D2134)=0," ",SUM(C2134:D2134))</f>
        <v xml:space="preserve"> </v>
      </c>
      <c r="F2134" s="14"/>
      <c r="G2134" s="120" t="e">
        <f>VLOOKUP($B2134,Information!$C$8:$F$15,4,FALSE)</f>
        <v>#N/A</v>
      </c>
      <c r="H2134" s="210" t="str">
        <f>TEXT(A2134,"ddd")</f>
        <v>Sat</v>
      </c>
    </row>
    <row r="2135" spans="1:8" x14ac:dyDescent="0.25">
      <c r="A2135" s="13"/>
      <c r="B2135" s="14"/>
      <c r="C2135" s="39"/>
      <c r="D2135" s="39"/>
      <c r="E2135" s="36" t="str">
        <f>IF(SUM(C2135:D2135)=0," ",SUM(C2135:D2135))</f>
        <v xml:space="preserve"> </v>
      </c>
      <c r="F2135" s="14"/>
      <c r="G2135" s="120" t="e">
        <f>VLOOKUP($B2135,Information!$C$8:$F$15,4,FALSE)</f>
        <v>#N/A</v>
      </c>
      <c r="H2135" s="210" t="str">
        <f>TEXT(A2135,"ddd")</f>
        <v>Sat</v>
      </c>
    </row>
    <row r="2136" spans="1:8" x14ac:dyDescent="0.25">
      <c r="A2136" s="13"/>
      <c r="B2136" s="14"/>
      <c r="C2136" s="39"/>
      <c r="D2136" s="39"/>
      <c r="E2136" s="36" t="str">
        <f>IF(SUM(C2136:D2136)=0," ",SUM(C2136:D2136))</f>
        <v xml:space="preserve"> </v>
      </c>
      <c r="F2136" s="14"/>
      <c r="G2136" s="120" t="e">
        <f>VLOOKUP($B2136,Information!$C$8:$F$15,4,FALSE)</f>
        <v>#N/A</v>
      </c>
      <c r="H2136" s="210" t="str">
        <f>TEXT(A2136,"ddd")</f>
        <v>Sat</v>
      </c>
    </row>
    <row r="2137" spans="1:8" x14ac:dyDescent="0.25">
      <c r="A2137" s="13"/>
      <c r="B2137" s="14"/>
      <c r="C2137" s="39"/>
      <c r="D2137" s="39"/>
      <c r="E2137" s="36" t="str">
        <f>IF(SUM(C2137:D2137)=0," ",SUM(C2137:D2137))</f>
        <v xml:space="preserve"> </v>
      </c>
      <c r="F2137" s="14"/>
      <c r="G2137" s="120" t="e">
        <f>VLOOKUP($B2137,Information!$C$8:$F$15,4,FALSE)</f>
        <v>#N/A</v>
      </c>
      <c r="H2137" s="210" t="str">
        <f>TEXT(A2137,"ddd")</f>
        <v>Sat</v>
      </c>
    </row>
    <row r="2138" spans="1:8" x14ac:dyDescent="0.25">
      <c r="A2138" s="13"/>
      <c r="B2138" s="14"/>
      <c r="C2138" s="39"/>
      <c r="D2138" s="39"/>
      <c r="E2138" s="36" t="str">
        <f>IF(SUM(C2138:D2138)=0," ",SUM(C2138:D2138))</f>
        <v xml:space="preserve"> </v>
      </c>
      <c r="F2138" s="14"/>
      <c r="G2138" s="120" t="e">
        <f>VLOOKUP($B2138,Information!$C$8:$F$15,4,FALSE)</f>
        <v>#N/A</v>
      </c>
      <c r="H2138" s="210" t="str">
        <f>TEXT(A2138,"ddd")</f>
        <v>Sat</v>
      </c>
    </row>
    <row r="2139" spans="1:8" x14ac:dyDescent="0.25">
      <c r="A2139" s="13"/>
      <c r="B2139" s="14"/>
      <c r="C2139" s="39"/>
      <c r="D2139" s="39"/>
      <c r="E2139" s="36" t="str">
        <f>IF(SUM(C2139:D2139)=0," ",SUM(C2139:D2139))</f>
        <v xml:space="preserve"> </v>
      </c>
      <c r="F2139" s="14"/>
      <c r="G2139" s="120" t="e">
        <f>VLOOKUP($B2139,Information!$C$8:$F$15,4,FALSE)</f>
        <v>#N/A</v>
      </c>
      <c r="H2139" s="210" t="str">
        <f>TEXT(A2139,"ddd")</f>
        <v>Sat</v>
      </c>
    </row>
    <row r="2140" spans="1:8" x14ac:dyDescent="0.25">
      <c r="A2140" s="13"/>
      <c r="B2140" s="14"/>
      <c r="C2140" s="39"/>
      <c r="D2140" s="39"/>
      <c r="E2140" s="36" t="str">
        <f>IF(SUM(C2140:D2140)=0," ",SUM(C2140:D2140))</f>
        <v xml:space="preserve"> </v>
      </c>
      <c r="F2140" s="14"/>
      <c r="G2140" s="120" t="e">
        <f>VLOOKUP($B2140,Information!$C$8:$F$15,4,FALSE)</f>
        <v>#N/A</v>
      </c>
      <c r="H2140" s="210" t="str">
        <f>TEXT(A2140,"ddd")</f>
        <v>Sat</v>
      </c>
    </row>
    <row r="2141" spans="1:8" x14ac:dyDescent="0.25">
      <c r="A2141" s="13"/>
      <c r="B2141" s="14"/>
      <c r="C2141" s="39"/>
      <c r="D2141" s="39"/>
      <c r="E2141" s="36" t="str">
        <f>IF(SUM(C2141:D2141)=0," ",SUM(C2141:D2141))</f>
        <v xml:space="preserve"> </v>
      </c>
      <c r="F2141" s="14"/>
      <c r="G2141" s="120" t="e">
        <f>VLOOKUP($B2141,Information!$C$8:$F$15,4,FALSE)</f>
        <v>#N/A</v>
      </c>
      <c r="H2141" s="210" t="str">
        <f>TEXT(A2141,"ddd")</f>
        <v>Sat</v>
      </c>
    </row>
    <row r="2142" spans="1:8" x14ac:dyDescent="0.25">
      <c r="A2142" s="13"/>
      <c r="B2142" s="14"/>
      <c r="C2142" s="39"/>
      <c r="D2142" s="39"/>
      <c r="E2142" s="36" t="str">
        <f>IF(SUM(C2142:D2142)=0," ",SUM(C2142:D2142))</f>
        <v xml:space="preserve"> </v>
      </c>
      <c r="F2142" s="14"/>
      <c r="G2142" s="120" t="e">
        <f>VLOOKUP($B2142,Information!$C$8:$F$15,4,FALSE)</f>
        <v>#N/A</v>
      </c>
      <c r="H2142" s="210" t="str">
        <f>TEXT(A2142,"ddd")</f>
        <v>Sat</v>
      </c>
    </row>
    <row r="2143" spans="1:8" x14ac:dyDescent="0.25">
      <c r="A2143" s="13"/>
      <c r="B2143" s="14"/>
      <c r="C2143" s="39"/>
      <c r="D2143" s="39"/>
      <c r="E2143" s="36" t="str">
        <f>IF(SUM(C2143:D2143)=0," ",SUM(C2143:D2143))</f>
        <v xml:space="preserve"> </v>
      </c>
      <c r="F2143" s="14"/>
      <c r="G2143" s="120" t="e">
        <f>VLOOKUP($B2143,Information!$C$8:$F$15,4,FALSE)</f>
        <v>#N/A</v>
      </c>
      <c r="H2143" s="210" t="str">
        <f>TEXT(A2143,"ddd")</f>
        <v>Sat</v>
      </c>
    </row>
    <row r="2144" spans="1:8" x14ac:dyDescent="0.25">
      <c r="A2144" s="13"/>
      <c r="B2144" s="14"/>
      <c r="C2144" s="39"/>
      <c r="D2144" s="39"/>
      <c r="E2144" s="36" t="str">
        <f>IF(SUM(C2144:D2144)=0," ",SUM(C2144:D2144))</f>
        <v xml:space="preserve"> </v>
      </c>
      <c r="F2144" s="14"/>
      <c r="G2144" s="120" t="e">
        <f>VLOOKUP($B2144,Information!$C$8:$F$15,4,FALSE)</f>
        <v>#N/A</v>
      </c>
      <c r="H2144" s="210" t="str">
        <f>TEXT(A2144,"ddd")</f>
        <v>Sat</v>
      </c>
    </row>
    <row r="2145" spans="1:8" x14ac:dyDescent="0.25">
      <c r="A2145" s="13"/>
      <c r="B2145" s="14"/>
      <c r="C2145" s="39"/>
      <c r="D2145" s="39"/>
      <c r="E2145" s="36" t="str">
        <f>IF(SUM(C2145:D2145)=0," ",SUM(C2145:D2145))</f>
        <v xml:space="preserve"> </v>
      </c>
      <c r="F2145" s="14"/>
      <c r="G2145" s="120" t="e">
        <f>VLOOKUP($B2145,Information!$C$8:$F$15,4,FALSE)</f>
        <v>#N/A</v>
      </c>
      <c r="H2145" s="210" t="str">
        <f>TEXT(A2145,"ddd")</f>
        <v>Sat</v>
      </c>
    </row>
    <row r="2146" spans="1:8" x14ac:dyDescent="0.25">
      <c r="A2146" s="13"/>
      <c r="B2146" s="14"/>
      <c r="C2146" s="39"/>
      <c r="D2146" s="39"/>
      <c r="E2146" s="36" t="str">
        <f>IF(SUM(C2146:D2146)=0," ",SUM(C2146:D2146))</f>
        <v xml:space="preserve"> </v>
      </c>
      <c r="F2146" s="14"/>
      <c r="G2146" s="120" t="e">
        <f>VLOOKUP($B2146,Information!$C$8:$F$15,4,FALSE)</f>
        <v>#N/A</v>
      </c>
      <c r="H2146" s="210" t="str">
        <f>TEXT(A2146,"ddd")</f>
        <v>Sat</v>
      </c>
    </row>
    <row r="2147" spans="1:8" x14ac:dyDescent="0.25">
      <c r="A2147" s="13"/>
      <c r="B2147" s="14"/>
      <c r="C2147" s="39"/>
      <c r="D2147" s="39"/>
      <c r="E2147" s="36" t="str">
        <f>IF(SUM(C2147:D2147)=0," ",SUM(C2147:D2147))</f>
        <v xml:space="preserve"> </v>
      </c>
      <c r="F2147" s="14"/>
      <c r="G2147" s="120" t="e">
        <f>VLOOKUP($B2147,Information!$C$8:$F$15,4,FALSE)</f>
        <v>#N/A</v>
      </c>
      <c r="H2147" s="210" t="str">
        <f>TEXT(A2147,"ddd")</f>
        <v>Sat</v>
      </c>
    </row>
    <row r="2148" spans="1:8" x14ac:dyDescent="0.25">
      <c r="A2148" s="13"/>
      <c r="B2148" s="14"/>
      <c r="C2148" s="39"/>
      <c r="D2148" s="39"/>
      <c r="E2148" s="36" t="str">
        <f>IF(SUM(C2148:D2148)=0," ",SUM(C2148:D2148))</f>
        <v xml:space="preserve"> </v>
      </c>
      <c r="F2148" s="14"/>
      <c r="G2148" s="120" t="e">
        <f>VLOOKUP($B2148,Information!$C$8:$F$15,4,FALSE)</f>
        <v>#N/A</v>
      </c>
      <c r="H2148" s="210" t="str">
        <f>TEXT(A2148,"ddd")</f>
        <v>Sat</v>
      </c>
    </row>
    <row r="2149" spans="1:8" x14ac:dyDescent="0.25">
      <c r="A2149" s="13"/>
      <c r="B2149" s="14"/>
      <c r="C2149" s="39"/>
      <c r="D2149" s="39"/>
      <c r="E2149" s="36" t="str">
        <f>IF(SUM(C2149:D2149)=0," ",SUM(C2149:D2149))</f>
        <v xml:space="preserve"> </v>
      </c>
      <c r="F2149" s="14"/>
      <c r="G2149" s="120" t="e">
        <f>VLOOKUP($B2149,Information!$C$8:$F$15,4,FALSE)</f>
        <v>#N/A</v>
      </c>
      <c r="H2149" s="210" t="str">
        <f>TEXT(A2149,"ddd")</f>
        <v>Sat</v>
      </c>
    </row>
    <row r="2150" spans="1:8" x14ac:dyDescent="0.25">
      <c r="A2150" s="13"/>
      <c r="B2150" s="14"/>
      <c r="C2150" s="39"/>
      <c r="D2150" s="39"/>
      <c r="E2150" s="36" t="str">
        <f>IF(SUM(C2150:D2150)=0," ",SUM(C2150:D2150))</f>
        <v xml:space="preserve"> </v>
      </c>
      <c r="F2150" s="14"/>
      <c r="G2150" s="120" t="e">
        <f>VLOOKUP($B2150,Information!$C$8:$F$15,4,FALSE)</f>
        <v>#N/A</v>
      </c>
      <c r="H2150" s="210" t="str">
        <f>TEXT(A2150,"ddd")</f>
        <v>Sat</v>
      </c>
    </row>
    <row r="2151" spans="1:8" x14ac:dyDescent="0.25">
      <c r="A2151" s="13"/>
      <c r="B2151" s="14"/>
      <c r="C2151" s="39"/>
      <c r="D2151" s="39"/>
      <c r="E2151" s="36" t="str">
        <f>IF(SUM(C2151:D2151)=0," ",SUM(C2151:D2151))</f>
        <v xml:space="preserve"> </v>
      </c>
      <c r="F2151" s="14"/>
      <c r="G2151" s="120" t="e">
        <f>VLOOKUP($B2151,Information!$C$8:$F$15,4,FALSE)</f>
        <v>#N/A</v>
      </c>
      <c r="H2151" s="210" t="str">
        <f>TEXT(A2151,"ddd")</f>
        <v>Sat</v>
      </c>
    </row>
    <row r="2152" spans="1:8" x14ac:dyDescent="0.25">
      <c r="A2152" s="13"/>
      <c r="B2152" s="14"/>
      <c r="C2152" s="39"/>
      <c r="D2152" s="39"/>
      <c r="E2152" s="36" t="str">
        <f>IF(SUM(C2152:D2152)=0," ",SUM(C2152:D2152))</f>
        <v xml:space="preserve"> </v>
      </c>
      <c r="F2152" s="14"/>
      <c r="G2152" s="120" t="e">
        <f>VLOOKUP($B2152,Information!$C$8:$F$15,4,FALSE)</f>
        <v>#N/A</v>
      </c>
      <c r="H2152" s="210" t="str">
        <f>TEXT(A2152,"ddd")</f>
        <v>Sat</v>
      </c>
    </row>
    <row r="2153" spans="1:8" x14ac:dyDescent="0.25">
      <c r="A2153" s="13"/>
      <c r="B2153" s="14"/>
      <c r="C2153" s="39"/>
      <c r="D2153" s="39"/>
      <c r="E2153" s="36" t="str">
        <f>IF(SUM(C2153:D2153)=0," ",SUM(C2153:D2153))</f>
        <v xml:space="preserve"> </v>
      </c>
      <c r="F2153" s="14"/>
      <c r="G2153" s="120" t="e">
        <f>VLOOKUP($B2153,Information!$C$8:$F$15,4,FALSE)</f>
        <v>#N/A</v>
      </c>
      <c r="H2153" s="210" t="str">
        <f>TEXT(A2153,"ddd")</f>
        <v>Sat</v>
      </c>
    </row>
    <row r="2154" spans="1:8" x14ac:dyDescent="0.25">
      <c r="A2154" s="13"/>
      <c r="B2154" s="14"/>
      <c r="C2154" s="39"/>
      <c r="D2154" s="39"/>
      <c r="E2154" s="36" t="str">
        <f>IF(SUM(C2154:D2154)=0," ",SUM(C2154:D2154))</f>
        <v xml:space="preserve"> </v>
      </c>
      <c r="F2154" s="14"/>
      <c r="G2154" s="120" t="e">
        <f>VLOOKUP($B2154,Information!$C$8:$F$15,4,FALSE)</f>
        <v>#N/A</v>
      </c>
      <c r="H2154" s="210" t="str">
        <f>TEXT(A2154,"ddd")</f>
        <v>Sat</v>
      </c>
    </row>
    <row r="2155" spans="1:8" x14ac:dyDescent="0.25">
      <c r="A2155" s="13"/>
      <c r="B2155" s="14"/>
      <c r="C2155" s="39"/>
      <c r="D2155" s="39"/>
      <c r="E2155" s="36" t="str">
        <f>IF(SUM(C2155:D2155)=0," ",SUM(C2155:D2155))</f>
        <v xml:space="preserve"> </v>
      </c>
      <c r="F2155" s="14"/>
      <c r="G2155" s="120" t="e">
        <f>VLOOKUP($B2155,Information!$C$8:$F$15,4,FALSE)</f>
        <v>#N/A</v>
      </c>
      <c r="H2155" s="210" t="str">
        <f>TEXT(A2155,"ddd")</f>
        <v>Sat</v>
      </c>
    </row>
    <row r="2156" spans="1:8" x14ac:dyDescent="0.25">
      <c r="A2156" s="13"/>
      <c r="B2156" s="14"/>
      <c r="C2156" s="39"/>
      <c r="D2156" s="39"/>
      <c r="E2156" s="36" t="str">
        <f>IF(SUM(C2156:D2156)=0," ",SUM(C2156:D2156))</f>
        <v xml:space="preserve"> </v>
      </c>
      <c r="F2156" s="14"/>
      <c r="G2156" s="120" t="e">
        <f>VLOOKUP($B2156,Information!$C$8:$F$15,4,FALSE)</f>
        <v>#N/A</v>
      </c>
      <c r="H2156" s="210" t="str">
        <f>TEXT(A2156,"ddd")</f>
        <v>Sat</v>
      </c>
    </row>
    <row r="2157" spans="1:8" x14ac:dyDescent="0.25">
      <c r="A2157" s="13"/>
      <c r="B2157" s="14"/>
      <c r="C2157" s="39"/>
      <c r="D2157" s="39"/>
      <c r="E2157" s="36" t="str">
        <f>IF(SUM(C2157:D2157)=0," ",SUM(C2157:D2157))</f>
        <v xml:space="preserve"> </v>
      </c>
      <c r="F2157" s="14"/>
      <c r="G2157" s="120" t="e">
        <f>VLOOKUP($B2157,Information!$C$8:$F$15,4,FALSE)</f>
        <v>#N/A</v>
      </c>
      <c r="H2157" s="210" t="str">
        <f>TEXT(A2157,"ddd")</f>
        <v>Sat</v>
      </c>
    </row>
    <row r="2158" spans="1:8" x14ac:dyDescent="0.25">
      <c r="A2158" s="13"/>
      <c r="B2158" s="14"/>
      <c r="C2158" s="39"/>
      <c r="D2158" s="39"/>
      <c r="E2158" s="36" t="str">
        <f>IF(SUM(C2158:D2158)=0," ",SUM(C2158:D2158))</f>
        <v xml:space="preserve"> </v>
      </c>
      <c r="F2158" s="14"/>
      <c r="G2158" s="120" t="e">
        <f>VLOOKUP($B2158,Information!$C$8:$F$15,4,FALSE)</f>
        <v>#N/A</v>
      </c>
      <c r="H2158" s="210" t="str">
        <f>TEXT(A2158,"ddd")</f>
        <v>Sat</v>
      </c>
    </row>
    <row r="2159" spans="1:8" x14ac:dyDescent="0.25">
      <c r="A2159" s="13"/>
      <c r="B2159" s="14"/>
      <c r="C2159" s="39"/>
      <c r="D2159" s="39"/>
      <c r="E2159" s="36" t="str">
        <f>IF(SUM(C2159:D2159)=0," ",SUM(C2159:D2159))</f>
        <v xml:space="preserve"> </v>
      </c>
      <c r="F2159" s="14"/>
      <c r="G2159" s="120" t="e">
        <f>VLOOKUP($B2159,Information!$C$8:$F$15,4,FALSE)</f>
        <v>#N/A</v>
      </c>
      <c r="H2159" s="210" t="str">
        <f>TEXT(A2159,"ddd")</f>
        <v>Sat</v>
      </c>
    </row>
    <row r="2160" spans="1:8" x14ac:dyDescent="0.25">
      <c r="A2160" s="13"/>
      <c r="B2160" s="14"/>
      <c r="C2160" s="39"/>
      <c r="D2160" s="39"/>
      <c r="E2160" s="36" t="str">
        <f>IF(SUM(C2160:D2160)=0," ",SUM(C2160:D2160))</f>
        <v xml:space="preserve"> </v>
      </c>
      <c r="F2160" s="14"/>
      <c r="G2160" s="120" t="e">
        <f>VLOOKUP($B2160,Information!$C$8:$F$15,4,FALSE)</f>
        <v>#N/A</v>
      </c>
      <c r="H2160" s="210" t="str">
        <f>TEXT(A2160,"ddd")</f>
        <v>Sat</v>
      </c>
    </row>
    <row r="2161" spans="1:8" x14ac:dyDescent="0.25">
      <c r="A2161" s="13"/>
      <c r="B2161" s="14"/>
      <c r="C2161" s="39"/>
      <c r="D2161" s="39"/>
      <c r="E2161" s="36" t="str">
        <f>IF(SUM(C2161:D2161)=0," ",SUM(C2161:D2161))</f>
        <v xml:space="preserve"> </v>
      </c>
      <c r="F2161" s="14"/>
      <c r="G2161" s="120" t="e">
        <f>VLOOKUP($B2161,Information!$C$8:$F$15,4,FALSE)</f>
        <v>#N/A</v>
      </c>
      <c r="H2161" s="210" t="str">
        <f>TEXT(A2161,"ddd")</f>
        <v>Sat</v>
      </c>
    </row>
    <row r="2162" spans="1:8" x14ac:dyDescent="0.25">
      <c r="A2162" s="13"/>
      <c r="B2162" s="14"/>
      <c r="C2162" s="39"/>
      <c r="D2162" s="39"/>
      <c r="E2162" s="36" t="str">
        <f>IF(SUM(C2162:D2162)=0," ",SUM(C2162:D2162))</f>
        <v xml:space="preserve"> </v>
      </c>
      <c r="F2162" s="14"/>
      <c r="G2162" s="120" t="e">
        <f>VLOOKUP($B2162,Information!$C$8:$F$15,4,FALSE)</f>
        <v>#N/A</v>
      </c>
      <c r="H2162" s="210" t="str">
        <f>TEXT(A2162,"ddd")</f>
        <v>Sat</v>
      </c>
    </row>
    <row r="2163" spans="1:8" x14ac:dyDescent="0.25">
      <c r="A2163" s="13"/>
      <c r="B2163" s="14"/>
      <c r="C2163" s="39"/>
      <c r="D2163" s="39"/>
      <c r="E2163" s="36" t="str">
        <f>IF(SUM(C2163:D2163)=0," ",SUM(C2163:D2163))</f>
        <v xml:space="preserve"> </v>
      </c>
      <c r="F2163" s="14"/>
      <c r="G2163" s="120" t="e">
        <f>VLOOKUP($B2163,Information!$C$8:$F$15,4,FALSE)</f>
        <v>#N/A</v>
      </c>
      <c r="H2163" s="210" t="str">
        <f>TEXT(A2163,"ddd")</f>
        <v>Sat</v>
      </c>
    </row>
    <row r="2164" spans="1:8" x14ac:dyDescent="0.25">
      <c r="A2164" s="13"/>
      <c r="B2164" s="14"/>
      <c r="C2164" s="39"/>
      <c r="D2164" s="39"/>
      <c r="E2164" s="36" t="str">
        <f>IF(SUM(C2164:D2164)=0," ",SUM(C2164:D2164))</f>
        <v xml:space="preserve"> </v>
      </c>
      <c r="F2164" s="14"/>
      <c r="G2164" s="120" t="e">
        <f>VLOOKUP($B2164,Information!$C$8:$F$15,4,FALSE)</f>
        <v>#N/A</v>
      </c>
      <c r="H2164" s="210" t="str">
        <f>TEXT(A2164,"ddd")</f>
        <v>Sat</v>
      </c>
    </row>
    <row r="2165" spans="1:8" x14ac:dyDescent="0.25">
      <c r="A2165" s="13"/>
      <c r="B2165" s="14"/>
      <c r="C2165" s="39"/>
      <c r="D2165" s="39"/>
      <c r="E2165" s="36" t="str">
        <f>IF(SUM(C2165:D2165)=0," ",SUM(C2165:D2165))</f>
        <v xml:space="preserve"> </v>
      </c>
      <c r="F2165" s="14"/>
      <c r="G2165" s="120" t="e">
        <f>VLOOKUP($B2165,Information!$C$8:$F$15,4,FALSE)</f>
        <v>#N/A</v>
      </c>
      <c r="H2165" s="210" t="str">
        <f>TEXT(A2165,"ddd")</f>
        <v>Sat</v>
      </c>
    </row>
    <row r="2166" spans="1:8" x14ac:dyDescent="0.25">
      <c r="A2166" s="13"/>
      <c r="B2166" s="14"/>
      <c r="C2166" s="39"/>
      <c r="D2166" s="39"/>
      <c r="E2166" s="36" t="str">
        <f>IF(SUM(C2166:D2166)=0," ",SUM(C2166:D2166))</f>
        <v xml:space="preserve"> </v>
      </c>
      <c r="F2166" s="14"/>
      <c r="G2166" s="120" t="e">
        <f>VLOOKUP($B2166,Information!$C$8:$F$15,4,FALSE)</f>
        <v>#N/A</v>
      </c>
      <c r="H2166" s="210" t="str">
        <f>TEXT(A2166,"ddd")</f>
        <v>Sat</v>
      </c>
    </row>
    <row r="2167" spans="1:8" x14ac:dyDescent="0.25">
      <c r="A2167" s="13"/>
      <c r="B2167" s="14"/>
      <c r="C2167" s="39"/>
      <c r="D2167" s="39"/>
      <c r="E2167" s="36" t="str">
        <f>IF(SUM(C2167:D2167)=0," ",SUM(C2167:D2167))</f>
        <v xml:space="preserve"> </v>
      </c>
      <c r="F2167" s="14"/>
      <c r="G2167" s="120" t="e">
        <f>VLOOKUP($B2167,Information!$C$8:$F$15,4,FALSE)</f>
        <v>#N/A</v>
      </c>
      <c r="H2167" s="210" t="str">
        <f>TEXT(A2167,"ddd")</f>
        <v>Sat</v>
      </c>
    </row>
    <row r="2168" spans="1:8" x14ac:dyDescent="0.25">
      <c r="A2168" s="13"/>
      <c r="B2168" s="14"/>
      <c r="C2168" s="39"/>
      <c r="D2168" s="39"/>
      <c r="E2168" s="36" t="str">
        <f>IF(SUM(C2168:D2168)=0," ",SUM(C2168:D2168))</f>
        <v xml:space="preserve"> </v>
      </c>
      <c r="F2168" s="14"/>
      <c r="G2168" s="120" t="e">
        <f>VLOOKUP($B2168,Information!$C$8:$F$15,4,FALSE)</f>
        <v>#N/A</v>
      </c>
      <c r="H2168" s="210" t="str">
        <f>TEXT(A2168,"ddd")</f>
        <v>Sat</v>
      </c>
    </row>
    <row r="2169" spans="1:8" x14ac:dyDescent="0.25">
      <c r="A2169" s="13"/>
      <c r="B2169" s="14"/>
      <c r="C2169" s="39"/>
      <c r="D2169" s="39"/>
      <c r="E2169" s="36" t="str">
        <f>IF(SUM(C2169:D2169)=0," ",SUM(C2169:D2169))</f>
        <v xml:space="preserve"> </v>
      </c>
      <c r="F2169" s="14"/>
      <c r="G2169" s="120" t="e">
        <f>VLOOKUP($B2169,Information!$C$8:$F$15,4,FALSE)</f>
        <v>#N/A</v>
      </c>
      <c r="H2169" s="210" t="str">
        <f>TEXT(A2169,"ddd")</f>
        <v>Sat</v>
      </c>
    </row>
    <row r="2170" spans="1:8" x14ac:dyDescent="0.25">
      <c r="A2170" s="13"/>
      <c r="B2170" s="14"/>
      <c r="C2170" s="39"/>
      <c r="D2170" s="39"/>
      <c r="E2170" s="36" t="str">
        <f>IF(SUM(C2170:D2170)=0," ",SUM(C2170:D2170))</f>
        <v xml:space="preserve"> </v>
      </c>
      <c r="F2170" s="14"/>
      <c r="G2170" s="120" t="e">
        <f>VLOOKUP($B2170,Information!$C$8:$F$15,4,FALSE)</f>
        <v>#N/A</v>
      </c>
      <c r="H2170" s="210" t="str">
        <f>TEXT(A2170,"ddd")</f>
        <v>Sat</v>
      </c>
    </row>
    <row r="2171" spans="1:8" x14ac:dyDescent="0.25">
      <c r="A2171" s="13"/>
      <c r="B2171" s="14"/>
      <c r="C2171" s="39"/>
      <c r="D2171" s="39"/>
      <c r="E2171" s="36" t="str">
        <f>IF(SUM(C2171:D2171)=0," ",SUM(C2171:D2171))</f>
        <v xml:space="preserve"> </v>
      </c>
      <c r="F2171" s="14"/>
      <c r="G2171" s="120" t="e">
        <f>VLOOKUP($B2171,Information!$C$8:$F$15,4,FALSE)</f>
        <v>#N/A</v>
      </c>
      <c r="H2171" s="210" t="str">
        <f>TEXT(A2171,"ddd")</f>
        <v>Sat</v>
      </c>
    </row>
    <row r="2172" spans="1:8" x14ac:dyDescent="0.25">
      <c r="A2172" s="13"/>
      <c r="B2172" s="14"/>
      <c r="C2172" s="39"/>
      <c r="D2172" s="39"/>
      <c r="E2172" s="36" t="str">
        <f>IF(SUM(C2172:D2172)=0," ",SUM(C2172:D2172))</f>
        <v xml:space="preserve"> </v>
      </c>
      <c r="F2172" s="14"/>
      <c r="G2172" s="120" t="e">
        <f>VLOOKUP($B2172,Information!$C$8:$F$15,4,FALSE)</f>
        <v>#N/A</v>
      </c>
      <c r="H2172" s="210" t="str">
        <f>TEXT(A2172,"ddd")</f>
        <v>Sat</v>
      </c>
    </row>
    <row r="2173" spans="1:8" x14ac:dyDescent="0.25">
      <c r="A2173" s="13"/>
      <c r="B2173" s="14"/>
      <c r="C2173" s="39"/>
      <c r="D2173" s="39"/>
      <c r="E2173" s="36" t="str">
        <f>IF(SUM(C2173:D2173)=0," ",SUM(C2173:D2173))</f>
        <v xml:space="preserve"> </v>
      </c>
      <c r="F2173" s="14"/>
      <c r="G2173" s="120" t="e">
        <f>VLOOKUP($B2173,Information!$C$8:$F$15,4,FALSE)</f>
        <v>#N/A</v>
      </c>
      <c r="H2173" s="210" t="str">
        <f>TEXT(A2173,"ddd")</f>
        <v>Sat</v>
      </c>
    </row>
    <row r="2174" spans="1:8" x14ac:dyDescent="0.25">
      <c r="A2174" s="13"/>
      <c r="B2174" s="14"/>
      <c r="C2174" s="39"/>
      <c r="D2174" s="39"/>
      <c r="E2174" s="36" t="str">
        <f>IF(SUM(C2174:D2174)=0," ",SUM(C2174:D2174))</f>
        <v xml:space="preserve"> </v>
      </c>
      <c r="F2174" s="14"/>
      <c r="G2174" s="120" t="e">
        <f>VLOOKUP($B2174,Information!$C$8:$F$15,4,FALSE)</f>
        <v>#N/A</v>
      </c>
      <c r="H2174" s="210" t="str">
        <f>TEXT(A2174,"ddd")</f>
        <v>Sat</v>
      </c>
    </row>
    <row r="2175" spans="1:8" x14ac:dyDescent="0.25">
      <c r="A2175" s="13"/>
      <c r="B2175" s="14"/>
      <c r="C2175" s="39"/>
      <c r="D2175" s="39"/>
      <c r="E2175" s="36" t="str">
        <f>IF(SUM(C2175:D2175)=0," ",SUM(C2175:D2175))</f>
        <v xml:space="preserve"> </v>
      </c>
      <c r="F2175" s="14"/>
      <c r="G2175" s="120" t="e">
        <f>VLOOKUP($B2175,Information!$C$8:$F$15,4,FALSE)</f>
        <v>#N/A</v>
      </c>
      <c r="H2175" s="210" t="str">
        <f>TEXT(A2175,"ddd")</f>
        <v>Sat</v>
      </c>
    </row>
    <row r="2176" spans="1:8" x14ac:dyDescent="0.25">
      <c r="A2176" s="13"/>
      <c r="B2176" s="14"/>
      <c r="C2176" s="39"/>
      <c r="D2176" s="39"/>
      <c r="E2176" s="36" t="str">
        <f>IF(SUM(C2176:D2176)=0," ",SUM(C2176:D2176))</f>
        <v xml:space="preserve"> </v>
      </c>
      <c r="F2176" s="14"/>
      <c r="G2176" s="120" t="e">
        <f>VLOOKUP($B2176,Information!$C$8:$F$15,4,FALSE)</f>
        <v>#N/A</v>
      </c>
      <c r="H2176" s="210" t="str">
        <f>TEXT(A2176,"ddd")</f>
        <v>Sat</v>
      </c>
    </row>
    <row r="2177" spans="1:8" x14ac:dyDescent="0.25">
      <c r="A2177" s="13"/>
      <c r="B2177" s="14"/>
      <c r="C2177" s="39"/>
      <c r="D2177" s="39"/>
      <c r="E2177" s="36" t="str">
        <f>IF(SUM(C2177:D2177)=0," ",SUM(C2177:D2177))</f>
        <v xml:space="preserve"> </v>
      </c>
      <c r="F2177" s="14"/>
      <c r="G2177" s="120" t="e">
        <f>VLOOKUP($B2177,Information!$C$8:$F$15,4,FALSE)</f>
        <v>#N/A</v>
      </c>
      <c r="H2177" s="210" t="str">
        <f>TEXT(A2177,"ddd")</f>
        <v>Sat</v>
      </c>
    </row>
    <row r="2178" spans="1:8" x14ac:dyDescent="0.25">
      <c r="A2178" s="13"/>
      <c r="B2178" s="14"/>
      <c r="C2178" s="39"/>
      <c r="D2178" s="39"/>
      <c r="E2178" s="36" t="str">
        <f>IF(SUM(C2178:D2178)=0," ",SUM(C2178:D2178))</f>
        <v xml:space="preserve"> </v>
      </c>
      <c r="F2178" s="14"/>
      <c r="G2178" s="120" t="e">
        <f>VLOOKUP($B2178,Information!$C$8:$F$15,4,FALSE)</f>
        <v>#N/A</v>
      </c>
      <c r="H2178" s="210" t="str">
        <f>TEXT(A2178,"ddd")</f>
        <v>Sat</v>
      </c>
    </row>
    <row r="2179" spans="1:8" x14ac:dyDescent="0.25">
      <c r="A2179" s="13"/>
      <c r="B2179" s="14"/>
      <c r="C2179" s="39"/>
      <c r="D2179" s="39"/>
      <c r="E2179" s="36" t="str">
        <f>IF(SUM(C2179:D2179)=0," ",SUM(C2179:D2179))</f>
        <v xml:space="preserve"> </v>
      </c>
      <c r="F2179" s="14"/>
      <c r="G2179" s="120" t="e">
        <f>VLOOKUP($B2179,Information!$C$8:$F$15,4,FALSE)</f>
        <v>#N/A</v>
      </c>
      <c r="H2179" s="210" t="str">
        <f>TEXT(A2179,"ddd")</f>
        <v>Sat</v>
      </c>
    </row>
    <row r="2180" spans="1:8" x14ac:dyDescent="0.25">
      <c r="A2180" s="13"/>
      <c r="B2180" s="14"/>
      <c r="C2180" s="39"/>
      <c r="D2180" s="39"/>
      <c r="E2180" s="36" t="str">
        <f>IF(SUM(C2180:D2180)=0," ",SUM(C2180:D2180))</f>
        <v xml:space="preserve"> </v>
      </c>
      <c r="F2180" s="14"/>
      <c r="G2180" s="120" t="e">
        <f>VLOOKUP($B2180,Information!$C$8:$F$15,4,FALSE)</f>
        <v>#N/A</v>
      </c>
      <c r="H2180" s="210" t="str">
        <f>TEXT(A2180,"ddd")</f>
        <v>Sat</v>
      </c>
    </row>
    <row r="2181" spans="1:8" x14ac:dyDescent="0.25">
      <c r="A2181" s="13"/>
      <c r="B2181" s="14"/>
      <c r="C2181" s="39"/>
      <c r="D2181" s="39"/>
      <c r="E2181" s="36" t="str">
        <f>IF(SUM(C2181:D2181)=0," ",SUM(C2181:D2181))</f>
        <v xml:space="preserve"> </v>
      </c>
      <c r="F2181" s="14"/>
      <c r="G2181" s="120" t="e">
        <f>VLOOKUP($B2181,Information!$C$8:$F$15,4,FALSE)</f>
        <v>#N/A</v>
      </c>
      <c r="H2181" s="210" t="str">
        <f>TEXT(A2181,"ddd")</f>
        <v>Sat</v>
      </c>
    </row>
    <row r="2182" spans="1:8" x14ac:dyDescent="0.25">
      <c r="A2182" s="13"/>
      <c r="B2182" s="14"/>
      <c r="C2182" s="39"/>
      <c r="D2182" s="39"/>
      <c r="E2182" s="36" t="str">
        <f>IF(SUM(C2182:D2182)=0," ",SUM(C2182:D2182))</f>
        <v xml:space="preserve"> </v>
      </c>
      <c r="F2182" s="14"/>
      <c r="G2182" s="120" t="e">
        <f>VLOOKUP($B2182,Information!$C$8:$F$15,4,FALSE)</f>
        <v>#N/A</v>
      </c>
      <c r="H2182" s="210" t="str">
        <f>TEXT(A2182,"ddd")</f>
        <v>Sat</v>
      </c>
    </row>
    <row r="2183" spans="1:8" x14ac:dyDescent="0.25">
      <c r="A2183" s="13"/>
      <c r="B2183" s="14"/>
      <c r="C2183" s="39"/>
      <c r="D2183" s="39"/>
      <c r="E2183" s="36" t="str">
        <f>IF(SUM(C2183:D2183)=0," ",SUM(C2183:D2183))</f>
        <v xml:space="preserve"> </v>
      </c>
      <c r="F2183" s="14"/>
      <c r="G2183" s="120" t="e">
        <f>VLOOKUP($B2183,Information!$C$8:$F$15,4,FALSE)</f>
        <v>#N/A</v>
      </c>
      <c r="H2183" s="210" t="str">
        <f>TEXT(A2183,"ddd")</f>
        <v>Sat</v>
      </c>
    </row>
    <row r="2184" spans="1:8" x14ac:dyDescent="0.25">
      <c r="A2184" s="13"/>
      <c r="B2184" s="14"/>
      <c r="C2184" s="39"/>
      <c r="D2184" s="39"/>
      <c r="E2184" s="36" t="str">
        <f>IF(SUM(C2184:D2184)=0," ",SUM(C2184:D2184))</f>
        <v xml:space="preserve"> </v>
      </c>
      <c r="F2184" s="14"/>
      <c r="G2184" s="120" t="e">
        <f>VLOOKUP($B2184,Information!$C$8:$F$15,4,FALSE)</f>
        <v>#N/A</v>
      </c>
      <c r="H2184" s="210" t="str">
        <f>TEXT(A2184,"ddd")</f>
        <v>Sat</v>
      </c>
    </row>
    <row r="2185" spans="1:8" x14ac:dyDescent="0.25">
      <c r="A2185" s="13"/>
      <c r="B2185" s="14"/>
      <c r="C2185" s="39"/>
      <c r="D2185" s="39"/>
      <c r="E2185" s="36" t="str">
        <f>IF(SUM(C2185:D2185)=0," ",SUM(C2185:D2185))</f>
        <v xml:space="preserve"> </v>
      </c>
      <c r="F2185" s="14"/>
      <c r="G2185" s="120" t="e">
        <f>VLOOKUP($B2185,Information!$C$8:$F$15,4,FALSE)</f>
        <v>#N/A</v>
      </c>
      <c r="H2185" s="210" t="str">
        <f>TEXT(A2185,"ddd")</f>
        <v>Sat</v>
      </c>
    </row>
    <row r="2186" spans="1:8" x14ac:dyDescent="0.25">
      <c r="A2186" s="13"/>
      <c r="B2186" s="14"/>
      <c r="C2186" s="39"/>
      <c r="D2186" s="39"/>
      <c r="E2186" s="36" t="str">
        <f>IF(SUM(C2186:D2186)=0," ",SUM(C2186:D2186))</f>
        <v xml:space="preserve"> </v>
      </c>
      <c r="F2186" s="14"/>
      <c r="G2186" s="120" t="e">
        <f>VLOOKUP($B2186,Information!$C$8:$F$15,4,FALSE)</f>
        <v>#N/A</v>
      </c>
      <c r="H2186" s="210" t="str">
        <f>TEXT(A2186,"ddd")</f>
        <v>Sat</v>
      </c>
    </row>
    <row r="2187" spans="1:8" x14ac:dyDescent="0.25">
      <c r="A2187" s="13"/>
      <c r="B2187" s="14"/>
      <c r="C2187" s="39"/>
      <c r="D2187" s="39"/>
      <c r="E2187" s="36" t="str">
        <f>IF(SUM(C2187:D2187)=0," ",SUM(C2187:D2187))</f>
        <v xml:space="preserve"> </v>
      </c>
      <c r="F2187" s="14"/>
      <c r="G2187" s="120" t="e">
        <f>VLOOKUP($B2187,Information!$C$8:$F$15,4,FALSE)</f>
        <v>#N/A</v>
      </c>
      <c r="H2187" s="210" t="str">
        <f>TEXT(A2187,"ddd")</f>
        <v>Sat</v>
      </c>
    </row>
    <row r="2188" spans="1:8" x14ac:dyDescent="0.25">
      <c r="A2188" s="13"/>
      <c r="B2188" s="14"/>
      <c r="C2188" s="39"/>
      <c r="D2188" s="39"/>
      <c r="E2188" s="36" t="str">
        <f>IF(SUM(C2188:D2188)=0," ",SUM(C2188:D2188))</f>
        <v xml:space="preserve"> </v>
      </c>
      <c r="F2188" s="14"/>
      <c r="G2188" s="120" t="e">
        <f>VLOOKUP($B2188,Information!$C$8:$F$15,4,FALSE)</f>
        <v>#N/A</v>
      </c>
      <c r="H2188" s="210" t="str">
        <f>TEXT(A2188,"ddd")</f>
        <v>Sat</v>
      </c>
    </row>
    <row r="2189" spans="1:8" x14ac:dyDescent="0.25">
      <c r="A2189" s="13"/>
      <c r="B2189" s="14"/>
      <c r="C2189" s="39"/>
      <c r="D2189" s="39"/>
      <c r="E2189" s="36" t="str">
        <f>IF(SUM(C2189:D2189)=0," ",SUM(C2189:D2189))</f>
        <v xml:space="preserve"> </v>
      </c>
      <c r="F2189" s="14"/>
      <c r="G2189" s="120" t="e">
        <f>VLOOKUP($B2189,Information!$C$8:$F$15,4,FALSE)</f>
        <v>#N/A</v>
      </c>
      <c r="H2189" s="210" t="str">
        <f>TEXT(A2189,"ddd")</f>
        <v>Sat</v>
      </c>
    </row>
    <row r="2190" spans="1:8" x14ac:dyDescent="0.25">
      <c r="A2190" s="13"/>
      <c r="B2190" s="14"/>
      <c r="C2190" s="39"/>
      <c r="D2190" s="39"/>
      <c r="E2190" s="36" t="str">
        <f>IF(SUM(C2190:D2190)=0," ",SUM(C2190:D2190))</f>
        <v xml:space="preserve"> </v>
      </c>
      <c r="F2190" s="14"/>
      <c r="G2190" s="120" t="e">
        <f>VLOOKUP($B2190,Information!$C$8:$F$15,4,FALSE)</f>
        <v>#N/A</v>
      </c>
      <c r="H2190" s="210" t="str">
        <f>TEXT(A2190,"ddd")</f>
        <v>Sat</v>
      </c>
    </row>
    <row r="2191" spans="1:8" x14ac:dyDescent="0.25">
      <c r="A2191" s="13"/>
      <c r="B2191" s="14"/>
      <c r="C2191" s="39"/>
      <c r="D2191" s="39"/>
      <c r="E2191" s="36" t="str">
        <f>IF(SUM(C2191:D2191)=0," ",SUM(C2191:D2191))</f>
        <v xml:space="preserve"> </v>
      </c>
      <c r="F2191" s="14"/>
      <c r="G2191" s="120" t="e">
        <f>VLOOKUP($B2191,Information!$C$8:$F$15,4,FALSE)</f>
        <v>#N/A</v>
      </c>
      <c r="H2191" s="210" t="str">
        <f>TEXT(A2191,"ddd")</f>
        <v>Sat</v>
      </c>
    </row>
    <row r="2192" spans="1:8" x14ac:dyDescent="0.25">
      <c r="A2192" s="13"/>
      <c r="B2192" s="14"/>
      <c r="C2192" s="39"/>
      <c r="D2192" s="39"/>
      <c r="E2192" s="36" t="str">
        <f>IF(SUM(C2192:D2192)=0," ",SUM(C2192:D2192))</f>
        <v xml:space="preserve"> </v>
      </c>
      <c r="F2192" s="14"/>
      <c r="G2192" s="120" t="e">
        <f>VLOOKUP($B2192,Information!$C$8:$F$15,4,FALSE)</f>
        <v>#N/A</v>
      </c>
      <c r="H2192" s="210" t="str">
        <f>TEXT(A2192,"ddd")</f>
        <v>Sat</v>
      </c>
    </row>
    <row r="2193" spans="1:8" x14ac:dyDescent="0.25">
      <c r="A2193" s="13"/>
      <c r="B2193" s="14"/>
      <c r="C2193" s="39"/>
      <c r="D2193" s="39"/>
      <c r="E2193" s="36" t="str">
        <f>IF(SUM(C2193:D2193)=0," ",SUM(C2193:D2193))</f>
        <v xml:space="preserve"> </v>
      </c>
      <c r="F2193" s="14"/>
      <c r="G2193" s="120" t="e">
        <f>VLOOKUP($B2193,Information!$C$8:$F$15,4,FALSE)</f>
        <v>#N/A</v>
      </c>
      <c r="H2193" s="210" t="str">
        <f>TEXT(A2193,"ddd")</f>
        <v>Sat</v>
      </c>
    </row>
    <row r="2194" spans="1:8" x14ac:dyDescent="0.25">
      <c r="A2194" s="13"/>
      <c r="B2194" s="14"/>
      <c r="C2194" s="39"/>
      <c r="D2194" s="39"/>
      <c r="E2194" s="36" t="str">
        <f>IF(SUM(C2194:D2194)=0," ",SUM(C2194:D2194))</f>
        <v xml:space="preserve"> </v>
      </c>
      <c r="F2194" s="14"/>
      <c r="G2194" s="120" t="e">
        <f>VLOOKUP($B2194,Information!$C$8:$F$15,4,FALSE)</f>
        <v>#N/A</v>
      </c>
      <c r="H2194" s="210" t="str">
        <f>TEXT(A2194,"ddd")</f>
        <v>Sat</v>
      </c>
    </row>
    <row r="2195" spans="1:8" x14ac:dyDescent="0.25">
      <c r="A2195" s="13"/>
      <c r="B2195" s="14"/>
      <c r="C2195" s="39"/>
      <c r="D2195" s="39"/>
      <c r="E2195" s="36" t="str">
        <f>IF(SUM(C2195:D2195)=0," ",SUM(C2195:D2195))</f>
        <v xml:space="preserve"> </v>
      </c>
      <c r="F2195" s="14"/>
      <c r="G2195" s="120" t="e">
        <f>VLOOKUP($B2195,Information!$C$8:$F$15,4,FALSE)</f>
        <v>#N/A</v>
      </c>
      <c r="H2195" s="210" t="str">
        <f>TEXT(A2195,"ddd")</f>
        <v>Sat</v>
      </c>
    </row>
    <row r="2196" spans="1:8" x14ac:dyDescent="0.25">
      <c r="A2196" s="13"/>
      <c r="B2196" s="14"/>
      <c r="C2196" s="39"/>
      <c r="D2196" s="39"/>
      <c r="E2196" s="36" t="str">
        <f>IF(SUM(C2196:D2196)=0," ",SUM(C2196:D2196))</f>
        <v xml:space="preserve"> </v>
      </c>
      <c r="F2196" s="14"/>
      <c r="G2196" s="120" t="e">
        <f>VLOOKUP($B2196,Information!$C$8:$F$15,4,FALSE)</f>
        <v>#N/A</v>
      </c>
      <c r="H2196" s="210" t="str">
        <f>TEXT(A2196,"ddd")</f>
        <v>Sat</v>
      </c>
    </row>
    <row r="2197" spans="1:8" x14ac:dyDescent="0.25">
      <c r="A2197" s="13"/>
      <c r="B2197" s="14"/>
      <c r="C2197" s="39"/>
      <c r="D2197" s="39"/>
      <c r="E2197" s="36" t="str">
        <f>IF(SUM(C2197:D2197)=0," ",SUM(C2197:D2197))</f>
        <v xml:space="preserve"> </v>
      </c>
      <c r="F2197" s="14"/>
      <c r="G2197" s="120" t="e">
        <f>VLOOKUP($B2197,Information!$C$8:$F$15,4,FALSE)</f>
        <v>#N/A</v>
      </c>
      <c r="H2197" s="210" t="str">
        <f>TEXT(A2197,"ddd")</f>
        <v>Sat</v>
      </c>
    </row>
    <row r="2198" spans="1:8" x14ac:dyDescent="0.25">
      <c r="A2198" s="13"/>
      <c r="B2198" s="14"/>
      <c r="C2198" s="39"/>
      <c r="D2198" s="39"/>
      <c r="E2198" s="36" t="str">
        <f>IF(SUM(C2198:D2198)=0," ",SUM(C2198:D2198))</f>
        <v xml:space="preserve"> </v>
      </c>
      <c r="F2198" s="14"/>
      <c r="G2198" s="120" t="e">
        <f>VLOOKUP($B2198,Information!$C$8:$F$15,4,FALSE)</f>
        <v>#N/A</v>
      </c>
      <c r="H2198" s="210" t="str">
        <f>TEXT(A2198,"ddd")</f>
        <v>Sat</v>
      </c>
    </row>
    <row r="2199" spans="1:8" x14ac:dyDescent="0.25">
      <c r="A2199" s="13"/>
      <c r="B2199" s="14"/>
      <c r="C2199" s="39"/>
      <c r="D2199" s="39"/>
      <c r="E2199" s="36" t="str">
        <f>IF(SUM(C2199:D2199)=0," ",SUM(C2199:D2199))</f>
        <v xml:space="preserve"> </v>
      </c>
      <c r="F2199" s="14"/>
      <c r="G2199" s="120" t="e">
        <f>VLOOKUP($B2199,Information!$C$8:$F$15,4,FALSE)</f>
        <v>#N/A</v>
      </c>
      <c r="H2199" s="210" t="str">
        <f>TEXT(A2199,"ddd")</f>
        <v>Sat</v>
      </c>
    </row>
    <row r="2200" spans="1:8" x14ac:dyDescent="0.25">
      <c r="A2200" s="13"/>
      <c r="B2200" s="14"/>
      <c r="C2200" s="39"/>
      <c r="D2200" s="39"/>
      <c r="E2200" s="36" t="str">
        <f>IF(SUM(C2200:D2200)=0," ",SUM(C2200:D2200))</f>
        <v xml:space="preserve"> </v>
      </c>
      <c r="F2200" s="14"/>
      <c r="G2200" s="120" t="e">
        <f>VLOOKUP($B2200,Information!$C$8:$F$15,4,FALSE)</f>
        <v>#N/A</v>
      </c>
      <c r="H2200" s="210" t="str">
        <f>TEXT(A2200,"ddd")</f>
        <v>Sat</v>
      </c>
    </row>
    <row r="2201" spans="1:8" x14ac:dyDescent="0.25">
      <c r="A2201" s="13"/>
      <c r="B2201" s="14"/>
      <c r="C2201" s="39"/>
      <c r="D2201" s="39"/>
      <c r="E2201" s="36" t="str">
        <f>IF(SUM(C2201:D2201)=0," ",SUM(C2201:D2201))</f>
        <v xml:space="preserve"> </v>
      </c>
      <c r="F2201" s="14"/>
      <c r="G2201" s="120" t="e">
        <f>VLOOKUP($B2201,Information!$C$8:$F$15,4,FALSE)</f>
        <v>#N/A</v>
      </c>
      <c r="H2201" s="210" t="str">
        <f>TEXT(A2201,"ddd")</f>
        <v>Sat</v>
      </c>
    </row>
    <row r="2202" spans="1:8" x14ac:dyDescent="0.25">
      <c r="A2202" s="13"/>
      <c r="B2202" s="14"/>
      <c r="C2202" s="39"/>
      <c r="D2202" s="39"/>
      <c r="E2202" s="36" t="str">
        <f>IF(SUM(C2202:D2202)=0," ",SUM(C2202:D2202))</f>
        <v xml:space="preserve"> </v>
      </c>
      <c r="F2202" s="14"/>
      <c r="G2202" s="120" t="e">
        <f>VLOOKUP($B2202,Information!$C$8:$F$15,4,FALSE)</f>
        <v>#N/A</v>
      </c>
      <c r="H2202" s="210" t="str">
        <f>TEXT(A2202,"ddd")</f>
        <v>Sat</v>
      </c>
    </row>
    <row r="2203" spans="1:8" x14ac:dyDescent="0.25">
      <c r="A2203" s="13"/>
      <c r="B2203" s="14"/>
      <c r="C2203" s="39"/>
      <c r="D2203" s="39"/>
      <c r="E2203" s="36" t="str">
        <f>IF(SUM(C2203:D2203)=0," ",SUM(C2203:D2203))</f>
        <v xml:space="preserve"> </v>
      </c>
      <c r="F2203" s="14"/>
      <c r="G2203" s="120" t="e">
        <f>VLOOKUP($B2203,Information!$C$8:$F$15,4,FALSE)</f>
        <v>#N/A</v>
      </c>
      <c r="H2203" s="210" t="str">
        <f>TEXT(A2203,"ddd")</f>
        <v>Sat</v>
      </c>
    </row>
    <row r="2204" spans="1:8" x14ac:dyDescent="0.25">
      <c r="A2204" s="13"/>
      <c r="B2204" s="14"/>
      <c r="C2204" s="39"/>
      <c r="D2204" s="39"/>
      <c r="E2204" s="36" t="str">
        <f>IF(SUM(C2204:D2204)=0," ",SUM(C2204:D2204))</f>
        <v xml:space="preserve"> </v>
      </c>
      <c r="F2204" s="14"/>
      <c r="G2204" s="120" t="e">
        <f>VLOOKUP($B2204,Information!$C$8:$F$15,4,FALSE)</f>
        <v>#N/A</v>
      </c>
      <c r="H2204" s="210" t="str">
        <f>TEXT(A2204,"ddd")</f>
        <v>Sat</v>
      </c>
    </row>
    <row r="2205" spans="1:8" x14ac:dyDescent="0.25">
      <c r="A2205" s="13"/>
      <c r="B2205" s="14"/>
      <c r="C2205" s="39"/>
      <c r="D2205" s="39"/>
      <c r="E2205" s="36" t="str">
        <f>IF(SUM(C2205:D2205)=0," ",SUM(C2205:D2205))</f>
        <v xml:space="preserve"> </v>
      </c>
      <c r="F2205" s="14"/>
      <c r="G2205" s="120" t="e">
        <f>VLOOKUP($B2205,Information!$C$8:$F$15,4,FALSE)</f>
        <v>#N/A</v>
      </c>
      <c r="H2205" s="210" t="str">
        <f>TEXT(A2205,"ddd")</f>
        <v>Sat</v>
      </c>
    </row>
    <row r="2206" spans="1:8" x14ac:dyDescent="0.25">
      <c r="A2206" s="13"/>
      <c r="B2206" s="14"/>
      <c r="C2206" s="39"/>
      <c r="D2206" s="39"/>
      <c r="E2206" s="36" t="str">
        <f>IF(SUM(C2206:D2206)=0," ",SUM(C2206:D2206))</f>
        <v xml:space="preserve"> </v>
      </c>
      <c r="F2206" s="14"/>
      <c r="G2206" s="120" t="e">
        <f>VLOOKUP($B2206,Information!$C$8:$F$15,4,FALSE)</f>
        <v>#N/A</v>
      </c>
      <c r="H2206" s="210" t="str">
        <f>TEXT(A2206,"ddd")</f>
        <v>Sat</v>
      </c>
    </row>
    <row r="2207" spans="1:8" x14ac:dyDescent="0.25">
      <c r="A2207" s="13"/>
      <c r="B2207" s="14"/>
      <c r="C2207" s="39"/>
      <c r="D2207" s="39"/>
      <c r="E2207" s="36" t="str">
        <f>IF(SUM(C2207:D2207)=0," ",SUM(C2207:D2207))</f>
        <v xml:space="preserve"> </v>
      </c>
      <c r="F2207" s="14"/>
      <c r="G2207" s="120" t="e">
        <f>VLOOKUP($B2207,Information!$C$8:$F$15,4,FALSE)</f>
        <v>#N/A</v>
      </c>
      <c r="H2207" s="210" t="str">
        <f>TEXT(A2207,"ddd")</f>
        <v>Sat</v>
      </c>
    </row>
    <row r="2208" spans="1:8" x14ac:dyDescent="0.25">
      <c r="A2208" s="13"/>
      <c r="B2208" s="14"/>
      <c r="C2208" s="39"/>
      <c r="D2208" s="39"/>
      <c r="E2208" s="36" t="str">
        <f>IF(SUM(C2208:D2208)=0," ",SUM(C2208:D2208))</f>
        <v xml:space="preserve"> </v>
      </c>
      <c r="F2208" s="14"/>
      <c r="G2208" s="120" t="e">
        <f>VLOOKUP($B2208,Information!$C$8:$F$15,4,FALSE)</f>
        <v>#N/A</v>
      </c>
      <c r="H2208" s="210" t="str">
        <f>TEXT(A2208,"ddd")</f>
        <v>Sat</v>
      </c>
    </row>
    <row r="2209" spans="1:8" x14ac:dyDescent="0.25">
      <c r="A2209" s="13"/>
      <c r="B2209" s="14"/>
      <c r="C2209" s="39"/>
      <c r="D2209" s="39"/>
      <c r="E2209" s="36" t="str">
        <f>IF(SUM(C2209:D2209)=0," ",SUM(C2209:D2209))</f>
        <v xml:space="preserve"> </v>
      </c>
      <c r="F2209" s="14"/>
      <c r="G2209" s="120" t="e">
        <f>VLOOKUP($B2209,Information!$C$8:$F$15,4,FALSE)</f>
        <v>#N/A</v>
      </c>
      <c r="H2209" s="210" t="str">
        <f>TEXT(A2209,"ddd")</f>
        <v>Sat</v>
      </c>
    </row>
    <row r="2210" spans="1:8" x14ac:dyDescent="0.25">
      <c r="A2210" s="13"/>
      <c r="B2210" s="14"/>
      <c r="C2210" s="39"/>
      <c r="D2210" s="39"/>
      <c r="E2210" s="36" t="str">
        <f>IF(SUM(C2210:D2210)=0," ",SUM(C2210:D2210))</f>
        <v xml:space="preserve"> </v>
      </c>
      <c r="F2210" s="14"/>
      <c r="G2210" s="120" t="e">
        <f>VLOOKUP($B2210,Information!$C$8:$F$15,4,FALSE)</f>
        <v>#N/A</v>
      </c>
      <c r="H2210" s="210" t="str">
        <f>TEXT(A2210,"ddd")</f>
        <v>Sat</v>
      </c>
    </row>
    <row r="2211" spans="1:8" x14ac:dyDescent="0.25">
      <c r="A2211" s="13"/>
      <c r="B2211" s="14"/>
      <c r="C2211" s="39"/>
      <c r="D2211" s="39"/>
      <c r="E2211" s="36" t="str">
        <f>IF(SUM(C2211:D2211)=0," ",SUM(C2211:D2211))</f>
        <v xml:space="preserve"> </v>
      </c>
      <c r="F2211" s="14"/>
      <c r="G2211" s="120" t="e">
        <f>VLOOKUP($B2211,Information!$C$8:$F$15,4,FALSE)</f>
        <v>#N/A</v>
      </c>
      <c r="H2211" s="210" t="str">
        <f>TEXT(A2211,"ddd")</f>
        <v>Sat</v>
      </c>
    </row>
    <row r="2212" spans="1:8" x14ac:dyDescent="0.25">
      <c r="A2212" s="13"/>
      <c r="B2212" s="14"/>
      <c r="C2212" s="39"/>
      <c r="D2212" s="39"/>
      <c r="E2212" s="36" t="str">
        <f>IF(SUM(C2212:D2212)=0," ",SUM(C2212:D2212))</f>
        <v xml:space="preserve"> </v>
      </c>
      <c r="F2212" s="14"/>
      <c r="G2212" s="120" t="e">
        <f>VLOOKUP($B2212,Information!$C$8:$F$15,4,FALSE)</f>
        <v>#N/A</v>
      </c>
      <c r="H2212" s="210" t="str">
        <f>TEXT(A2212,"ddd")</f>
        <v>Sat</v>
      </c>
    </row>
    <row r="2213" spans="1:8" x14ac:dyDescent="0.25">
      <c r="A2213" s="13"/>
      <c r="B2213" s="14"/>
      <c r="C2213" s="39"/>
      <c r="D2213" s="39"/>
      <c r="E2213" s="36" t="str">
        <f>IF(SUM(C2213:D2213)=0," ",SUM(C2213:D2213))</f>
        <v xml:space="preserve"> </v>
      </c>
      <c r="F2213" s="14"/>
      <c r="G2213" s="120" t="e">
        <f>VLOOKUP($B2213,Information!$C$8:$F$15,4,FALSE)</f>
        <v>#N/A</v>
      </c>
      <c r="H2213" s="210" t="str">
        <f>TEXT(A2213,"ddd")</f>
        <v>Sat</v>
      </c>
    </row>
    <row r="2214" spans="1:8" x14ac:dyDescent="0.25">
      <c r="A2214" s="13"/>
      <c r="B2214" s="14"/>
      <c r="C2214" s="39"/>
      <c r="D2214" s="39"/>
      <c r="E2214" s="36" t="str">
        <f>IF(SUM(C2214:D2214)=0," ",SUM(C2214:D2214))</f>
        <v xml:space="preserve"> </v>
      </c>
      <c r="F2214" s="14"/>
      <c r="G2214" s="120" t="e">
        <f>VLOOKUP($B2214,Information!$C$8:$F$15,4,FALSE)</f>
        <v>#N/A</v>
      </c>
      <c r="H2214" s="210" t="str">
        <f>TEXT(A2214,"ddd")</f>
        <v>Sat</v>
      </c>
    </row>
    <row r="2215" spans="1:8" x14ac:dyDescent="0.25">
      <c r="A2215" s="13"/>
      <c r="B2215" s="14"/>
      <c r="C2215" s="39"/>
      <c r="D2215" s="39"/>
      <c r="E2215" s="36" t="str">
        <f>IF(SUM(C2215:D2215)=0," ",SUM(C2215:D2215))</f>
        <v xml:space="preserve"> </v>
      </c>
      <c r="F2215" s="14"/>
      <c r="G2215" s="120" t="e">
        <f>VLOOKUP($B2215,Information!$C$8:$F$15,4,FALSE)</f>
        <v>#N/A</v>
      </c>
      <c r="H2215" s="210" t="str">
        <f>TEXT(A2215,"ddd")</f>
        <v>Sat</v>
      </c>
    </row>
    <row r="2216" spans="1:8" x14ac:dyDescent="0.25">
      <c r="A2216" s="13"/>
      <c r="B2216" s="14"/>
      <c r="C2216" s="39"/>
      <c r="D2216" s="39"/>
      <c r="E2216" s="36" t="str">
        <f>IF(SUM(C2216:D2216)=0," ",SUM(C2216:D2216))</f>
        <v xml:space="preserve"> </v>
      </c>
      <c r="F2216" s="14"/>
      <c r="G2216" s="120" t="e">
        <f>VLOOKUP($B2216,Information!$C$8:$F$15,4,FALSE)</f>
        <v>#N/A</v>
      </c>
      <c r="H2216" s="210" t="str">
        <f>TEXT(A2216,"ddd")</f>
        <v>Sat</v>
      </c>
    </row>
    <row r="2217" spans="1:8" x14ac:dyDescent="0.25">
      <c r="A2217" s="13"/>
      <c r="B2217" s="14"/>
      <c r="C2217" s="39"/>
      <c r="D2217" s="39"/>
      <c r="E2217" s="36" t="str">
        <f>IF(SUM(C2217:D2217)=0," ",SUM(C2217:D2217))</f>
        <v xml:space="preserve"> </v>
      </c>
      <c r="F2217" s="14"/>
      <c r="G2217" s="120" t="e">
        <f>VLOOKUP($B2217,Information!$C$8:$F$15,4,FALSE)</f>
        <v>#N/A</v>
      </c>
      <c r="H2217" s="210" t="str">
        <f>TEXT(A2217,"ddd")</f>
        <v>Sat</v>
      </c>
    </row>
    <row r="2218" spans="1:8" x14ac:dyDescent="0.25">
      <c r="A2218" s="13"/>
      <c r="B2218" s="14"/>
      <c r="C2218" s="39"/>
      <c r="D2218" s="39"/>
      <c r="E2218" s="36" t="str">
        <f>IF(SUM(C2218:D2218)=0," ",SUM(C2218:D2218))</f>
        <v xml:space="preserve"> </v>
      </c>
      <c r="F2218" s="14"/>
      <c r="G2218" s="120" t="e">
        <f>VLOOKUP($B2218,Information!$C$8:$F$15,4,FALSE)</f>
        <v>#N/A</v>
      </c>
      <c r="H2218" s="210" t="str">
        <f>TEXT(A2218,"ddd")</f>
        <v>Sat</v>
      </c>
    </row>
    <row r="2219" spans="1:8" x14ac:dyDescent="0.25">
      <c r="A2219" s="13"/>
      <c r="B2219" s="14"/>
      <c r="C2219" s="39"/>
      <c r="D2219" s="39"/>
      <c r="E2219" s="36" t="str">
        <f>IF(SUM(C2219:D2219)=0," ",SUM(C2219:D2219))</f>
        <v xml:space="preserve"> </v>
      </c>
      <c r="F2219" s="14"/>
      <c r="G2219" s="120" t="e">
        <f>VLOOKUP($B2219,Information!$C$8:$F$15,4,FALSE)</f>
        <v>#N/A</v>
      </c>
      <c r="H2219" s="210" t="str">
        <f>TEXT(A2219,"ddd")</f>
        <v>Sat</v>
      </c>
    </row>
    <row r="2220" spans="1:8" x14ac:dyDescent="0.25">
      <c r="A2220" s="13"/>
      <c r="B2220" s="14"/>
      <c r="C2220" s="39"/>
      <c r="D2220" s="39"/>
      <c r="E2220" s="36" t="str">
        <f>IF(SUM(C2220:D2220)=0," ",SUM(C2220:D2220))</f>
        <v xml:space="preserve"> </v>
      </c>
      <c r="F2220" s="14"/>
      <c r="G2220" s="120" t="e">
        <f>VLOOKUP($B2220,Information!$C$8:$F$15,4,FALSE)</f>
        <v>#N/A</v>
      </c>
      <c r="H2220" s="210" t="str">
        <f>TEXT(A2220,"ddd")</f>
        <v>Sat</v>
      </c>
    </row>
    <row r="2221" spans="1:8" x14ac:dyDescent="0.25">
      <c r="A2221" s="13"/>
      <c r="B2221" s="14"/>
      <c r="C2221" s="39"/>
      <c r="D2221" s="39"/>
      <c r="E2221" s="36" t="str">
        <f>IF(SUM(C2221:D2221)=0," ",SUM(C2221:D2221))</f>
        <v xml:space="preserve"> </v>
      </c>
      <c r="F2221" s="14"/>
      <c r="G2221" s="120" t="e">
        <f>VLOOKUP($B2221,Information!$C$8:$F$15,4,FALSE)</f>
        <v>#N/A</v>
      </c>
      <c r="H2221" s="210" t="str">
        <f>TEXT(A2221,"ddd")</f>
        <v>Sat</v>
      </c>
    </row>
    <row r="2222" spans="1:8" x14ac:dyDescent="0.25">
      <c r="A2222" s="13"/>
      <c r="B2222" s="14"/>
      <c r="C2222" s="39"/>
      <c r="D2222" s="39"/>
      <c r="E2222" s="36" t="str">
        <f>IF(SUM(C2222:D2222)=0," ",SUM(C2222:D2222))</f>
        <v xml:space="preserve"> </v>
      </c>
      <c r="F2222" s="14"/>
      <c r="G2222" s="120" t="e">
        <f>VLOOKUP($B2222,Information!$C$8:$F$15,4,FALSE)</f>
        <v>#N/A</v>
      </c>
      <c r="H2222" s="210" t="str">
        <f>TEXT(A2222,"ddd")</f>
        <v>Sat</v>
      </c>
    </row>
    <row r="2223" spans="1:8" x14ac:dyDescent="0.25">
      <c r="A2223" s="13"/>
      <c r="B2223" s="14"/>
      <c r="C2223" s="39"/>
      <c r="D2223" s="39"/>
      <c r="E2223" s="36" t="str">
        <f>IF(SUM(C2223:D2223)=0," ",SUM(C2223:D2223))</f>
        <v xml:space="preserve"> </v>
      </c>
      <c r="F2223" s="14"/>
      <c r="G2223" s="120" t="e">
        <f>VLOOKUP($B2223,Information!$C$8:$F$15,4,FALSE)</f>
        <v>#N/A</v>
      </c>
      <c r="H2223" s="210" t="str">
        <f>TEXT(A2223,"ddd")</f>
        <v>Sat</v>
      </c>
    </row>
    <row r="2224" spans="1:8" x14ac:dyDescent="0.25">
      <c r="A2224" s="13"/>
      <c r="B2224" s="14"/>
      <c r="C2224" s="39"/>
      <c r="D2224" s="39"/>
      <c r="E2224" s="36" t="str">
        <f>IF(SUM(C2224:D2224)=0," ",SUM(C2224:D2224))</f>
        <v xml:space="preserve"> </v>
      </c>
      <c r="F2224" s="14"/>
      <c r="G2224" s="120" t="e">
        <f>VLOOKUP($B2224,Information!$C$8:$F$15,4,FALSE)</f>
        <v>#N/A</v>
      </c>
      <c r="H2224" s="210" t="str">
        <f>TEXT(A2224,"ddd")</f>
        <v>Sat</v>
      </c>
    </row>
    <row r="2225" spans="1:8" x14ac:dyDescent="0.25">
      <c r="A2225" s="13"/>
      <c r="B2225" s="14"/>
      <c r="C2225" s="39"/>
      <c r="D2225" s="39"/>
      <c r="E2225" s="36" t="str">
        <f>IF(SUM(C2225:D2225)=0," ",SUM(C2225:D2225))</f>
        <v xml:space="preserve"> </v>
      </c>
      <c r="F2225" s="14"/>
      <c r="G2225" s="120" t="e">
        <f>VLOOKUP($B2225,Information!$C$8:$F$15,4,FALSE)</f>
        <v>#N/A</v>
      </c>
      <c r="H2225" s="210" t="str">
        <f>TEXT(A2225,"ddd")</f>
        <v>Sat</v>
      </c>
    </row>
    <row r="2226" spans="1:8" x14ac:dyDescent="0.25">
      <c r="A2226" s="13"/>
      <c r="B2226" s="14"/>
      <c r="C2226" s="39"/>
      <c r="D2226" s="39"/>
      <c r="E2226" s="36" t="str">
        <f>IF(SUM(C2226:D2226)=0," ",SUM(C2226:D2226))</f>
        <v xml:space="preserve"> </v>
      </c>
      <c r="F2226" s="14"/>
      <c r="G2226" s="120" t="e">
        <f>VLOOKUP($B2226,Information!$C$8:$F$15,4,FALSE)</f>
        <v>#N/A</v>
      </c>
      <c r="H2226" s="210" t="str">
        <f>TEXT(A2226,"ddd")</f>
        <v>Sat</v>
      </c>
    </row>
    <row r="2227" spans="1:8" x14ac:dyDescent="0.25">
      <c r="A2227" s="13"/>
      <c r="B2227" s="14"/>
      <c r="C2227" s="39"/>
      <c r="D2227" s="39"/>
      <c r="E2227" s="36" t="str">
        <f>IF(SUM(C2227:D2227)=0," ",SUM(C2227:D2227))</f>
        <v xml:space="preserve"> </v>
      </c>
      <c r="F2227" s="14"/>
      <c r="G2227" s="120" t="e">
        <f>VLOOKUP($B2227,Information!$C$8:$F$15,4,FALSE)</f>
        <v>#N/A</v>
      </c>
      <c r="H2227" s="210" t="str">
        <f>TEXT(A2227,"ddd")</f>
        <v>Sat</v>
      </c>
    </row>
    <row r="2228" spans="1:8" x14ac:dyDescent="0.25">
      <c r="A2228" s="13"/>
      <c r="B2228" s="14"/>
      <c r="C2228" s="39"/>
      <c r="D2228" s="39"/>
      <c r="E2228" s="36" t="str">
        <f>IF(SUM(C2228:D2228)=0," ",SUM(C2228:D2228))</f>
        <v xml:space="preserve"> </v>
      </c>
      <c r="F2228" s="14"/>
      <c r="G2228" s="120" t="e">
        <f>VLOOKUP($B2228,Information!$C$8:$F$15,4,FALSE)</f>
        <v>#N/A</v>
      </c>
      <c r="H2228" s="210" t="str">
        <f>TEXT(A2228,"ddd")</f>
        <v>Sat</v>
      </c>
    </row>
    <row r="2229" spans="1:8" x14ac:dyDescent="0.25">
      <c r="A2229" s="13"/>
      <c r="B2229" s="14"/>
      <c r="C2229" s="39"/>
      <c r="D2229" s="39"/>
      <c r="E2229" s="36" t="str">
        <f>IF(SUM(C2229:D2229)=0," ",SUM(C2229:D2229))</f>
        <v xml:space="preserve"> </v>
      </c>
      <c r="F2229" s="14"/>
      <c r="G2229" s="120" t="e">
        <f>VLOOKUP($B2229,Information!$C$8:$F$15,4,FALSE)</f>
        <v>#N/A</v>
      </c>
      <c r="H2229" s="210" t="str">
        <f>TEXT(A2229,"ddd")</f>
        <v>Sat</v>
      </c>
    </row>
    <row r="2230" spans="1:8" x14ac:dyDescent="0.25">
      <c r="A2230" s="13"/>
      <c r="B2230" s="14"/>
      <c r="C2230" s="39"/>
      <c r="D2230" s="39"/>
      <c r="E2230" s="36" t="str">
        <f>IF(SUM(C2230:D2230)=0," ",SUM(C2230:D2230))</f>
        <v xml:space="preserve"> </v>
      </c>
      <c r="F2230" s="14"/>
      <c r="G2230" s="120" t="e">
        <f>VLOOKUP($B2230,Information!$C$8:$F$15,4,FALSE)</f>
        <v>#N/A</v>
      </c>
      <c r="H2230" s="210" t="str">
        <f>TEXT(A2230,"ddd")</f>
        <v>Sat</v>
      </c>
    </row>
    <row r="2231" spans="1:8" x14ac:dyDescent="0.25">
      <c r="A2231" s="13"/>
      <c r="B2231" s="14"/>
      <c r="C2231" s="39"/>
      <c r="D2231" s="39"/>
      <c r="E2231" s="36" t="str">
        <f>IF(SUM(C2231:D2231)=0," ",SUM(C2231:D2231))</f>
        <v xml:space="preserve"> </v>
      </c>
      <c r="F2231" s="14"/>
      <c r="G2231" s="120" t="e">
        <f>VLOOKUP($B2231,Information!$C$8:$F$15,4,FALSE)</f>
        <v>#N/A</v>
      </c>
      <c r="H2231" s="210" t="str">
        <f>TEXT(A2231,"ddd")</f>
        <v>Sat</v>
      </c>
    </row>
    <row r="2232" spans="1:8" x14ac:dyDescent="0.25">
      <c r="A2232" s="13"/>
      <c r="B2232" s="14"/>
      <c r="C2232" s="39"/>
      <c r="D2232" s="39"/>
      <c r="E2232" s="36" t="str">
        <f>IF(SUM(C2232:D2232)=0," ",SUM(C2232:D2232))</f>
        <v xml:space="preserve"> </v>
      </c>
      <c r="F2232" s="14"/>
      <c r="G2232" s="120" t="e">
        <f>VLOOKUP($B2232,Information!$C$8:$F$15,4,FALSE)</f>
        <v>#N/A</v>
      </c>
      <c r="H2232" s="210" t="str">
        <f>TEXT(A2232,"ddd")</f>
        <v>Sat</v>
      </c>
    </row>
    <row r="2233" spans="1:8" x14ac:dyDescent="0.25">
      <c r="A2233" s="13"/>
      <c r="B2233" s="14"/>
      <c r="C2233" s="39"/>
      <c r="D2233" s="39"/>
      <c r="E2233" s="36" t="str">
        <f>IF(SUM(C2233:D2233)=0," ",SUM(C2233:D2233))</f>
        <v xml:space="preserve"> </v>
      </c>
      <c r="F2233" s="14"/>
      <c r="G2233" s="120" t="e">
        <f>VLOOKUP($B2233,Information!$C$8:$F$15,4,FALSE)</f>
        <v>#N/A</v>
      </c>
      <c r="H2233" s="210" t="str">
        <f>TEXT(A2233,"ddd")</f>
        <v>Sat</v>
      </c>
    </row>
    <row r="2234" spans="1:8" x14ac:dyDescent="0.25">
      <c r="A2234" s="13"/>
      <c r="B2234" s="14"/>
      <c r="C2234" s="39"/>
      <c r="D2234" s="39"/>
      <c r="E2234" s="36" t="str">
        <f>IF(SUM(C2234:D2234)=0," ",SUM(C2234:D2234))</f>
        <v xml:space="preserve"> </v>
      </c>
      <c r="F2234" s="14"/>
      <c r="G2234" s="120" t="e">
        <f>VLOOKUP($B2234,Information!$C$8:$F$15,4,FALSE)</f>
        <v>#N/A</v>
      </c>
      <c r="H2234" s="210" t="str">
        <f>TEXT(A2234,"ddd")</f>
        <v>Sat</v>
      </c>
    </row>
    <row r="2235" spans="1:8" x14ac:dyDescent="0.25">
      <c r="A2235" s="13"/>
      <c r="B2235" s="14"/>
      <c r="C2235" s="39"/>
      <c r="D2235" s="39"/>
      <c r="E2235" s="36" t="str">
        <f>IF(SUM(C2235:D2235)=0," ",SUM(C2235:D2235))</f>
        <v xml:space="preserve"> </v>
      </c>
      <c r="F2235" s="14"/>
      <c r="G2235" s="120" t="e">
        <f>VLOOKUP($B2235,Information!$C$8:$F$15,4,FALSE)</f>
        <v>#N/A</v>
      </c>
      <c r="H2235" s="210" t="str">
        <f>TEXT(A2235,"ddd")</f>
        <v>Sat</v>
      </c>
    </row>
    <row r="2236" spans="1:8" x14ac:dyDescent="0.25">
      <c r="A2236" s="13"/>
      <c r="B2236" s="14"/>
      <c r="C2236" s="39"/>
      <c r="D2236" s="39"/>
      <c r="E2236" s="36" t="str">
        <f>IF(SUM(C2236:D2236)=0," ",SUM(C2236:D2236))</f>
        <v xml:space="preserve"> </v>
      </c>
      <c r="F2236" s="14"/>
      <c r="G2236" s="120" t="e">
        <f>VLOOKUP($B2236,Information!$C$8:$F$15,4,FALSE)</f>
        <v>#N/A</v>
      </c>
      <c r="H2236" s="210" t="str">
        <f>TEXT(A2236,"ddd")</f>
        <v>Sat</v>
      </c>
    </row>
    <row r="2237" spans="1:8" x14ac:dyDescent="0.25">
      <c r="A2237" s="13"/>
      <c r="B2237" s="14"/>
      <c r="C2237" s="39"/>
      <c r="D2237" s="39"/>
      <c r="E2237" s="36" t="str">
        <f>IF(SUM(C2237:D2237)=0," ",SUM(C2237:D2237))</f>
        <v xml:space="preserve"> </v>
      </c>
      <c r="F2237" s="14"/>
      <c r="G2237" s="120" t="e">
        <f>VLOOKUP($B2237,Information!$C$8:$F$15,4,FALSE)</f>
        <v>#N/A</v>
      </c>
      <c r="H2237" s="210" t="str">
        <f>TEXT(A2237,"ddd")</f>
        <v>Sat</v>
      </c>
    </row>
    <row r="2238" spans="1:8" x14ac:dyDescent="0.25">
      <c r="A2238" s="13"/>
      <c r="B2238" s="14"/>
      <c r="C2238" s="39"/>
      <c r="D2238" s="39"/>
      <c r="E2238" s="36" t="str">
        <f>IF(SUM(C2238:D2238)=0," ",SUM(C2238:D2238))</f>
        <v xml:space="preserve"> </v>
      </c>
      <c r="F2238" s="14"/>
      <c r="G2238" s="120" t="e">
        <f>VLOOKUP($B2238,Information!$C$8:$F$15,4,FALSE)</f>
        <v>#N/A</v>
      </c>
      <c r="H2238" s="210" t="str">
        <f>TEXT(A2238,"ddd")</f>
        <v>Sat</v>
      </c>
    </row>
    <row r="2239" spans="1:8" x14ac:dyDescent="0.25">
      <c r="A2239" s="13"/>
      <c r="B2239" s="14"/>
      <c r="C2239" s="39"/>
      <c r="D2239" s="39"/>
      <c r="E2239" s="36" t="str">
        <f>IF(SUM(C2239:D2239)=0," ",SUM(C2239:D2239))</f>
        <v xml:space="preserve"> </v>
      </c>
      <c r="F2239" s="14"/>
      <c r="G2239" s="120" t="e">
        <f>VLOOKUP($B2239,Information!$C$8:$F$15,4,FALSE)</f>
        <v>#N/A</v>
      </c>
      <c r="H2239" s="210" t="str">
        <f>TEXT(A2239,"ddd")</f>
        <v>Sat</v>
      </c>
    </row>
    <row r="2240" spans="1:8" x14ac:dyDescent="0.25">
      <c r="A2240" s="13"/>
      <c r="B2240" s="14"/>
      <c r="C2240" s="39"/>
      <c r="D2240" s="39"/>
      <c r="E2240" s="36" t="str">
        <f>IF(SUM(C2240:D2240)=0," ",SUM(C2240:D2240))</f>
        <v xml:space="preserve"> </v>
      </c>
      <c r="F2240" s="14"/>
      <c r="G2240" s="120" t="e">
        <f>VLOOKUP($B2240,Information!$C$8:$F$15,4,FALSE)</f>
        <v>#N/A</v>
      </c>
      <c r="H2240" s="210" t="str">
        <f>TEXT(A2240,"ddd")</f>
        <v>Sat</v>
      </c>
    </row>
    <row r="2241" spans="1:8" x14ac:dyDescent="0.25">
      <c r="A2241" s="13"/>
      <c r="B2241" s="14"/>
      <c r="C2241" s="39"/>
      <c r="D2241" s="39"/>
      <c r="E2241" s="36" t="str">
        <f>IF(SUM(C2241:D2241)=0," ",SUM(C2241:D2241))</f>
        <v xml:space="preserve"> </v>
      </c>
      <c r="F2241" s="14"/>
      <c r="G2241" s="120" t="e">
        <f>VLOOKUP($B2241,Information!$C$8:$F$15,4,FALSE)</f>
        <v>#N/A</v>
      </c>
      <c r="H2241" s="210" t="str">
        <f>TEXT(A2241,"ddd")</f>
        <v>Sat</v>
      </c>
    </row>
    <row r="2242" spans="1:8" x14ac:dyDescent="0.25">
      <c r="A2242" s="13"/>
      <c r="B2242" s="14"/>
      <c r="C2242" s="39"/>
      <c r="D2242" s="39"/>
      <c r="E2242" s="36" t="str">
        <f>IF(SUM(C2242:D2242)=0," ",SUM(C2242:D2242))</f>
        <v xml:space="preserve"> </v>
      </c>
      <c r="F2242" s="14"/>
      <c r="G2242" s="120" t="e">
        <f>VLOOKUP($B2242,Information!$C$8:$F$15,4,FALSE)</f>
        <v>#N/A</v>
      </c>
      <c r="H2242" s="210" t="str">
        <f>TEXT(A2242,"ddd")</f>
        <v>Sat</v>
      </c>
    </row>
    <row r="2243" spans="1:8" x14ac:dyDescent="0.25">
      <c r="A2243" s="13"/>
      <c r="B2243" s="14"/>
      <c r="C2243" s="39"/>
      <c r="D2243" s="39"/>
      <c r="E2243" s="36" t="str">
        <f>IF(SUM(C2243:D2243)=0," ",SUM(C2243:D2243))</f>
        <v xml:space="preserve"> </v>
      </c>
      <c r="F2243" s="14"/>
      <c r="G2243" s="120" t="e">
        <f>VLOOKUP($B2243,Information!$C$8:$F$15,4,FALSE)</f>
        <v>#N/A</v>
      </c>
      <c r="H2243" s="210" t="str">
        <f>TEXT(A2243,"ddd")</f>
        <v>Sat</v>
      </c>
    </row>
    <row r="2244" spans="1:8" x14ac:dyDescent="0.25">
      <c r="A2244" s="13"/>
      <c r="B2244" s="14"/>
      <c r="C2244" s="39"/>
      <c r="D2244" s="39"/>
      <c r="E2244" s="36" t="str">
        <f>IF(SUM(C2244:D2244)=0," ",SUM(C2244:D2244))</f>
        <v xml:space="preserve"> </v>
      </c>
      <c r="F2244" s="14"/>
      <c r="G2244" s="120" t="e">
        <f>VLOOKUP($B2244,Information!$C$8:$F$15,4,FALSE)</f>
        <v>#N/A</v>
      </c>
      <c r="H2244" s="210" t="str">
        <f>TEXT(A2244,"ddd")</f>
        <v>Sat</v>
      </c>
    </row>
    <row r="2245" spans="1:8" x14ac:dyDescent="0.25">
      <c r="A2245" s="13"/>
      <c r="B2245" s="14"/>
      <c r="C2245" s="39"/>
      <c r="D2245" s="39"/>
      <c r="E2245" s="36" t="str">
        <f>IF(SUM(C2245:D2245)=0," ",SUM(C2245:D2245))</f>
        <v xml:space="preserve"> </v>
      </c>
      <c r="F2245" s="14"/>
      <c r="G2245" s="120" t="e">
        <f>VLOOKUP($B2245,Information!$C$8:$F$15,4,FALSE)</f>
        <v>#N/A</v>
      </c>
      <c r="H2245" s="210" t="str">
        <f>TEXT(A2245,"ddd")</f>
        <v>Sat</v>
      </c>
    </row>
    <row r="2246" spans="1:8" x14ac:dyDescent="0.25">
      <c r="A2246" s="13"/>
      <c r="B2246" s="14"/>
      <c r="C2246" s="39"/>
      <c r="D2246" s="39"/>
      <c r="E2246" s="36" t="str">
        <f>IF(SUM(C2246:D2246)=0," ",SUM(C2246:D2246))</f>
        <v xml:space="preserve"> </v>
      </c>
      <c r="F2246" s="14"/>
      <c r="G2246" s="120" t="e">
        <f>VLOOKUP($B2246,Information!$C$8:$F$15,4,FALSE)</f>
        <v>#N/A</v>
      </c>
      <c r="H2246" s="210" t="str">
        <f>TEXT(A2246,"ddd")</f>
        <v>Sat</v>
      </c>
    </row>
    <row r="2247" spans="1:8" x14ac:dyDescent="0.25">
      <c r="A2247" s="13"/>
      <c r="B2247" s="14"/>
      <c r="C2247" s="39"/>
      <c r="D2247" s="39"/>
      <c r="E2247" s="36" t="str">
        <f>IF(SUM(C2247:D2247)=0," ",SUM(C2247:D2247))</f>
        <v xml:space="preserve"> </v>
      </c>
      <c r="F2247" s="14"/>
      <c r="G2247" s="120" t="e">
        <f>VLOOKUP($B2247,Information!$C$8:$F$15,4,FALSE)</f>
        <v>#N/A</v>
      </c>
      <c r="H2247" s="210" t="str">
        <f>TEXT(A2247,"ddd")</f>
        <v>Sat</v>
      </c>
    </row>
    <row r="2248" spans="1:8" x14ac:dyDescent="0.25">
      <c r="A2248" s="13"/>
      <c r="B2248" s="14"/>
      <c r="C2248" s="39"/>
      <c r="D2248" s="39"/>
      <c r="E2248" s="36" t="str">
        <f>IF(SUM(C2248:D2248)=0," ",SUM(C2248:D2248))</f>
        <v xml:space="preserve"> </v>
      </c>
      <c r="F2248" s="14"/>
      <c r="G2248" s="120" t="e">
        <f>VLOOKUP($B2248,Information!$C$8:$F$15,4,FALSE)</f>
        <v>#N/A</v>
      </c>
      <c r="H2248" s="210" t="str">
        <f>TEXT(A2248,"ddd")</f>
        <v>Sat</v>
      </c>
    </row>
    <row r="2249" spans="1:8" x14ac:dyDescent="0.25">
      <c r="A2249" s="13"/>
      <c r="B2249" s="14"/>
      <c r="C2249" s="39"/>
      <c r="D2249" s="39"/>
      <c r="E2249" s="36" t="str">
        <f>IF(SUM(C2249:D2249)=0," ",SUM(C2249:D2249))</f>
        <v xml:space="preserve"> </v>
      </c>
      <c r="F2249" s="14"/>
      <c r="G2249" s="120" t="e">
        <f>VLOOKUP($B2249,Information!$C$8:$F$15,4,FALSE)</f>
        <v>#N/A</v>
      </c>
      <c r="H2249" s="210" t="str">
        <f>TEXT(A2249,"ddd")</f>
        <v>Sat</v>
      </c>
    </row>
    <row r="2250" spans="1:8" x14ac:dyDescent="0.25">
      <c r="A2250" s="13"/>
      <c r="B2250" s="14"/>
      <c r="C2250" s="39"/>
      <c r="D2250" s="39"/>
      <c r="E2250" s="36" t="str">
        <f>IF(SUM(C2250:D2250)=0," ",SUM(C2250:D2250))</f>
        <v xml:space="preserve"> </v>
      </c>
      <c r="F2250" s="14"/>
      <c r="G2250" s="120" t="e">
        <f>VLOOKUP($B2250,Information!$C$8:$F$15,4,FALSE)</f>
        <v>#N/A</v>
      </c>
      <c r="H2250" s="210" t="str">
        <f>TEXT(A2250,"ddd")</f>
        <v>Sat</v>
      </c>
    </row>
    <row r="2251" spans="1:8" x14ac:dyDescent="0.25">
      <c r="A2251" s="13"/>
      <c r="B2251" s="14"/>
      <c r="C2251" s="39"/>
      <c r="D2251" s="39"/>
      <c r="E2251" s="36" t="str">
        <f>IF(SUM(C2251:D2251)=0," ",SUM(C2251:D2251))</f>
        <v xml:space="preserve"> </v>
      </c>
      <c r="F2251" s="14"/>
      <c r="G2251" s="120" t="e">
        <f>VLOOKUP($B2251,Information!$C$8:$F$15,4,FALSE)</f>
        <v>#N/A</v>
      </c>
      <c r="H2251" s="210" t="str">
        <f>TEXT(A2251,"ddd")</f>
        <v>Sat</v>
      </c>
    </row>
    <row r="2252" spans="1:8" x14ac:dyDescent="0.25">
      <c r="A2252" s="13"/>
      <c r="B2252" s="14"/>
      <c r="C2252" s="39"/>
      <c r="D2252" s="39"/>
      <c r="E2252" s="36" t="str">
        <f>IF(SUM(C2252:D2252)=0," ",SUM(C2252:D2252))</f>
        <v xml:space="preserve"> </v>
      </c>
      <c r="F2252" s="14"/>
      <c r="G2252" s="120" t="e">
        <f>VLOOKUP($B2252,Information!$C$8:$F$15,4,FALSE)</f>
        <v>#N/A</v>
      </c>
      <c r="H2252" s="210" t="str">
        <f>TEXT(A2252,"ddd")</f>
        <v>Sat</v>
      </c>
    </row>
    <row r="2253" spans="1:8" x14ac:dyDescent="0.25">
      <c r="A2253" s="13"/>
      <c r="B2253" s="14"/>
      <c r="C2253" s="39"/>
      <c r="D2253" s="39"/>
      <c r="E2253" s="36" t="str">
        <f>IF(SUM(C2253:D2253)=0," ",SUM(C2253:D2253))</f>
        <v xml:space="preserve"> </v>
      </c>
      <c r="F2253" s="14"/>
      <c r="G2253" s="120" t="e">
        <f>VLOOKUP($B2253,Information!$C$8:$F$15,4,FALSE)</f>
        <v>#N/A</v>
      </c>
      <c r="H2253" s="210" t="str">
        <f>TEXT(A2253,"ddd")</f>
        <v>Sat</v>
      </c>
    </row>
    <row r="2254" spans="1:8" x14ac:dyDescent="0.25">
      <c r="A2254" s="13"/>
      <c r="B2254" s="14"/>
      <c r="C2254" s="39"/>
      <c r="D2254" s="39"/>
      <c r="E2254" s="36" t="str">
        <f>IF(SUM(C2254:D2254)=0," ",SUM(C2254:D2254))</f>
        <v xml:space="preserve"> </v>
      </c>
      <c r="F2254" s="14"/>
      <c r="G2254" s="120" t="e">
        <f>VLOOKUP($B2254,Information!$C$8:$F$15,4,FALSE)</f>
        <v>#N/A</v>
      </c>
      <c r="H2254" s="210" t="str">
        <f>TEXT(A2254,"ddd")</f>
        <v>Sat</v>
      </c>
    </row>
    <row r="2255" spans="1:8" x14ac:dyDescent="0.25">
      <c r="A2255" s="13"/>
      <c r="B2255" s="14"/>
      <c r="C2255" s="39"/>
      <c r="D2255" s="39"/>
      <c r="E2255" s="36" t="str">
        <f>IF(SUM(C2255:D2255)=0," ",SUM(C2255:D2255))</f>
        <v xml:space="preserve"> </v>
      </c>
      <c r="F2255" s="14"/>
      <c r="G2255" s="120" t="e">
        <f>VLOOKUP($B2255,Information!$C$8:$F$15,4,FALSE)</f>
        <v>#N/A</v>
      </c>
      <c r="H2255" s="210" t="str">
        <f>TEXT(A2255,"ddd")</f>
        <v>Sat</v>
      </c>
    </row>
    <row r="2256" spans="1:8" x14ac:dyDescent="0.25">
      <c r="A2256" s="13"/>
      <c r="B2256" s="14"/>
      <c r="C2256" s="39"/>
      <c r="D2256" s="39"/>
      <c r="E2256" s="36" t="str">
        <f>IF(SUM(C2256:D2256)=0," ",SUM(C2256:D2256))</f>
        <v xml:space="preserve"> </v>
      </c>
      <c r="F2256" s="14"/>
      <c r="G2256" s="120" t="e">
        <f>VLOOKUP($B2256,Information!$C$8:$F$15,4,FALSE)</f>
        <v>#N/A</v>
      </c>
      <c r="H2256" s="210" t="str">
        <f>TEXT(A2256,"ddd")</f>
        <v>Sat</v>
      </c>
    </row>
    <row r="2257" spans="1:8" x14ac:dyDescent="0.25">
      <c r="A2257" s="13"/>
      <c r="B2257" s="14"/>
      <c r="C2257" s="39"/>
      <c r="D2257" s="39"/>
      <c r="E2257" s="36" t="str">
        <f>IF(SUM(C2257:D2257)=0," ",SUM(C2257:D2257))</f>
        <v xml:space="preserve"> </v>
      </c>
      <c r="F2257" s="14"/>
      <c r="G2257" s="120" t="e">
        <f>VLOOKUP($B2257,Information!$C$8:$F$15,4,FALSE)</f>
        <v>#N/A</v>
      </c>
      <c r="H2257" s="210" t="str">
        <f>TEXT(A2257,"ddd")</f>
        <v>Sat</v>
      </c>
    </row>
    <row r="2258" spans="1:8" x14ac:dyDescent="0.25">
      <c r="A2258" s="13"/>
      <c r="B2258" s="14"/>
      <c r="C2258" s="39"/>
      <c r="D2258" s="39"/>
      <c r="E2258" s="36" t="str">
        <f>IF(SUM(C2258:D2258)=0," ",SUM(C2258:D2258))</f>
        <v xml:space="preserve"> </v>
      </c>
      <c r="F2258" s="14"/>
      <c r="G2258" s="120" t="e">
        <f>VLOOKUP($B2258,Information!$C$8:$F$15,4,FALSE)</f>
        <v>#N/A</v>
      </c>
      <c r="H2258" s="210" t="str">
        <f>TEXT(A2258,"ddd")</f>
        <v>Sat</v>
      </c>
    </row>
    <row r="2259" spans="1:8" x14ac:dyDescent="0.25">
      <c r="A2259" s="13"/>
      <c r="B2259" s="14"/>
      <c r="C2259" s="39"/>
      <c r="D2259" s="39"/>
      <c r="E2259" s="36" t="str">
        <f>IF(SUM(C2259:D2259)=0," ",SUM(C2259:D2259))</f>
        <v xml:space="preserve"> </v>
      </c>
      <c r="F2259" s="14"/>
      <c r="G2259" s="120" t="e">
        <f>VLOOKUP($B2259,Information!$C$8:$F$15,4,FALSE)</f>
        <v>#N/A</v>
      </c>
      <c r="H2259" s="210" t="str">
        <f>TEXT(A2259,"ddd")</f>
        <v>Sat</v>
      </c>
    </row>
    <row r="2260" spans="1:8" x14ac:dyDescent="0.25">
      <c r="A2260" s="13"/>
      <c r="B2260" s="14"/>
      <c r="C2260" s="39"/>
      <c r="D2260" s="39"/>
      <c r="E2260" s="36" t="str">
        <f>IF(SUM(C2260:D2260)=0," ",SUM(C2260:D2260))</f>
        <v xml:space="preserve"> </v>
      </c>
      <c r="F2260" s="14"/>
      <c r="G2260" s="120" t="e">
        <f>VLOOKUP($B2260,Information!$C$8:$F$15,4,FALSE)</f>
        <v>#N/A</v>
      </c>
      <c r="H2260" s="210" t="str">
        <f>TEXT(A2260,"ddd")</f>
        <v>Sat</v>
      </c>
    </row>
    <row r="2261" spans="1:8" x14ac:dyDescent="0.25">
      <c r="A2261" s="13"/>
      <c r="B2261" s="14"/>
      <c r="C2261" s="39"/>
      <c r="D2261" s="39"/>
      <c r="E2261" s="36" t="str">
        <f>IF(SUM(C2261:D2261)=0," ",SUM(C2261:D2261))</f>
        <v xml:space="preserve"> </v>
      </c>
      <c r="F2261" s="14"/>
      <c r="G2261" s="120" t="e">
        <f>VLOOKUP($B2261,Information!$C$8:$F$15,4,FALSE)</f>
        <v>#N/A</v>
      </c>
      <c r="H2261" s="210" t="str">
        <f>TEXT(A2261,"ddd")</f>
        <v>Sat</v>
      </c>
    </row>
    <row r="2262" spans="1:8" x14ac:dyDescent="0.25">
      <c r="A2262" s="13"/>
      <c r="B2262" s="14"/>
      <c r="C2262" s="39"/>
      <c r="D2262" s="39"/>
      <c r="E2262" s="36" t="str">
        <f>IF(SUM(C2262:D2262)=0," ",SUM(C2262:D2262))</f>
        <v xml:space="preserve"> </v>
      </c>
      <c r="F2262" s="14"/>
      <c r="G2262" s="120" t="e">
        <f>VLOOKUP($B2262,Information!$C$8:$F$15,4,FALSE)</f>
        <v>#N/A</v>
      </c>
      <c r="H2262" s="210" t="str">
        <f>TEXT(A2262,"ddd")</f>
        <v>Sat</v>
      </c>
    </row>
    <row r="2263" spans="1:8" x14ac:dyDescent="0.25">
      <c r="A2263" s="13"/>
      <c r="B2263" s="14"/>
      <c r="C2263" s="39"/>
      <c r="D2263" s="39"/>
      <c r="E2263" s="36" t="str">
        <f>IF(SUM(C2263:D2263)=0," ",SUM(C2263:D2263))</f>
        <v xml:space="preserve"> </v>
      </c>
      <c r="F2263" s="14"/>
      <c r="G2263" s="120" t="e">
        <f>VLOOKUP($B2263,Information!$C$8:$F$15,4,FALSE)</f>
        <v>#N/A</v>
      </c>
      <c r="H2263" s="210" t="str">
        <f>TEXT(A2263,"ddd")</f>
        <v>Sat</v>
      </c>
    </row>
    <row r="2264" spans="1:8" x14ac:dyDescent="0.25">
      <c r="A2264" s="13"/>
      <c r="B2264" s="14"/>
      <c r="C2264" s="39"/>
      <c r="D2264" s="39"/>
      <c r="E2264" s="36" t="str">
        <f>IF(SUM(C2264:D2264)=0," ",SUM(C2264:D2264))</f>
        <v xml:space="preserve"> </v>
      </c>
      <c r="F2264" s="14"/>
      <c r="G2264" s="120" t="e">
        <f>VLOOKUP($B2264,Information!$C$8:$F$15,4,FALSE)</f>
        <v>#N/A</v>
      </c>
      <c r="H2264" s="210" t="str">
        <f>TEXT(A2264,"ddd")</f>
        <v>Sat</v>
      </c>
    </row>
    <row r="2265" spans="1:8" x14ac:dyDescent="0.25">
      <c r="A2265" s="13"/>
      <c r="B2265" s="14"/>
      <c r="C2265" s="39"/>
      <c r="D2265" s="39"/>
      <c r="E2265" s="36" t="str">
        <f>IF(SUM(C2265:D2265)=0," ",SUM(C2265:D2265))</f>
        <v xml:space="preserve"> </v>
      </c>
      <c r="F2265" s="14"/>
      <c r="G2265" s="120" t="e">
        <f>VLOOKUP($B2265,Information!$C$8:$F$15,4,FALSE)</f>
        <v>#N/A</v>
      </c>
      <c r="H2265" s="210" t="str">
        <f>TEXT(A2265,"ddd")</f>
        <v>Sat</v>
      </c>
    </row>
    <row r="2266" spans="1:8" x14ac:dyDescent="0.25">
      <c r="A2266" s="13"/>
      <c r="B2266" s="14"/>
      <c r="C2266" s="39"/>
      <c r="D2266" s="39"/>
      <c r="E2266" s="36" t="str">
        <f>IF(SUM(C2266:D2266)=0," ",SUM(C2266:D2266))</f>
        <v xml:space="preserve"> </v>
      </c>
      <c r="F2266" s="14"/>
      <c r="G2266" s="120" t="e">
        <f>VLOOKUP($B2266,Information!$C$8:$F$15,4,FALSE)</f>
        <v>#N/A</v>
      </c>
      <c r="H2266" s="210" t="str">
        <f>TEXT(A2266,"ddd")</f>
        <v>Sat</v>
      </c>
    </row>
    <row r="2267" spans="1:8" x14ac:dyDescent="0.25">
      <c r="A2267" s="13"/>
      <c r="B2267" s="14"/>
      <c r="C2267" s="39"/>
      <c r="D2267" s="39"/>
      <c r="E2267" s="36" t="str">
        <f>IF(SUM(C2267:D2267)=0," ",SUM(C2267:D2267))</f>
        <v xml:space="preserve"> </v>
      </c>
      <c r="F2267" s="14"/>
      <c r="G2267" s="120" t="e">
        <f>VLOOKUP($B2267,Information!$C$8:$F$15,4,FALSE)</f>
        <v>#N/A</v>
      </c>
      <c r="H2267" s="210" t="str">
        <f>TEXT(A2267,"ddd")</f>
        <v>Sat</v>
      </c>
    </row>
    <row r="2268" spans="1:8" x14ac:dyDescent="0.25">
      <c r="A2268" s="13"/>
      <c r="B2268" s="14"/>
      <c r="C2268" s="39"/>
      <c r="D2268" s="39"/>
      <c r="E2268" s="36" t="str">
        <f>IF(SUM(C2268:D2268)=0," ",SUM(C2268:D2268))</f>
        <v xml:space="preserve"> </v>
      </c>
      <c r="F2268" s="14"/>
      <c r="G2268" s="120" t="e">
        <f>VLOOKUP($B2268,Information!$C$8:$F$15,4,FALSE)</f>
        <v>#N/A</v>
      </c>
      <c r="H2268" s="210" t="str">
        <f>TEXT(A2268,"ddd")</f>
        <v>Sat</v>
      </c>
    </row>
    <row r="2269" spans="1:8" x14ac:dyDescent="0.25">
      <c r="A2269" s="13"/>
      <c r="B2269" s="14"/>
      <c r="C2269" s="39"/>
      <c r="D2269" s="39"/>
      <c r="E2269" s="36" t="str">
        <f>IF(SUM(C2269:D2269)=0," ",SUM(C2269:D2269))</f>
        <v xml:space="preserve"> </v>
      </c>
      <c r="F2269" s="14"/>
      <c r="G2269" s="120" t="e">
        <f>VLOOKUP($B2269,Information!$C$8:$F$15,4,FALSE)</f>
        <v>#N/A</v>
      </c>
      <c r="H2269" s="210" t="str">
        <f>TEXT(A2269,"ddd")</f>
        <v>Sat</v>
      </c>
    </row>
    <row r="2270" spans="1:8" x14ac:dyDescent="0.25">
      <c r="A2270" s="13"/>
      <c r="B2270" s="14"/>
      <c r="C2270" s="39"/>
      <c r="D2270" s="39"/>
      <c r="E2270" s="36" t="str">
        <f>IF(SUM(C2270:D2270)=0," ",SUM(C2270:D2270))</f>
        <v xml:space="preserve"> </v>
      </c>
      <c r="F2270" s="14"/>
      <c r="G2270" s="120" t="e">
        <f>VLOOKUP($B2270,Information!$C$8:$F$15,4,FALSE)</f>
        <v>#N/A</v>
      </c>
      <c r="H2270" s="210" t="str">
        <f>TEXT(A2270,"ddd")</f>
        <v>Sat</v>
      </c>
    </row>
    <row r="2271" spans="1:8" x14ac:dyDescent="0.25">
      <c r="A2271" s="13"/>
      <c r="B2271" s="14"/>
      <c r="C2271" s="39"/>
      <c r="D2271" s="39"/>
      <c r="E2271" s="36" t="str">
        <f>IF(SUM(C2271:D2271)=0," ",SUM(C2271:D2271))</f>
        <v xml:space="preserve"> </v>
      </c>
      <c r="F2271" s="14"/>
      <c r="G2271" s="120" t="e">
        <f>VLOOKUP($B2271,Information!$C$8:$F$15,4,FALSE)</f>
        <v>#N/A</v>
      </c>
      <c r="H2271" s="210" t="str">
        <f>TEXT(A2271,"ddd")</f>
        <v>Sat</v>
      </c>
    </row>
    <row r="2272" spans="1:8" x14ac:dyDescent="0.25">
      <c r="A2272" s="13"/>
      <c r="B2272" s="14"/>
      <c r="C2272" s="39"/>
      <c r="D2272" s="39"/>
      <c r="E2272" s="36" t="str">
        <f>IF(SUM(C2272:D2272)=0," ",SUM(C2272:D2272))</f>
        <v xml:space="preserve"> </v>
      </c>
      <c r="F2272" s="14"/>
      <c r="G2272" s="120" t="e">
        <f>VLOOKUP($B2272,Information!$C$8:$F$15,4,FALSE)</f>
        <v>#N/A</v>
      </c>
      <c r="H2272" s="210" t="str">
        <f>TEXT(A2272,"ddd")</f>
        <v>Sat</v>
      </c>
    </row>
    <row r="2273" spans="1:8" x14ac:dyDescent="0.25">
      <c r="A2273" s="13"/>
      <c r="B2273" s="14"/>
      <c r="C2273" s="39"/>
      <c r="D2273" s="39"/>
      <c r="E2273" s="36" t="str">
        <f>IF(SUM(C2273:D2273)=0," ",SUM(C2273:D2273))</f>
        <v xml:space="preserve"> </v>
      </c>
      <c r="F2273" s="14"/>
      <c r="G2273" s="120" t="e">
        <f>VLOOKUP($B2273,Information!$C$8:$F$15,4,FALSE)</f>
        <v>#N/A</v>
      </c>
      <c r="H2273" s="210" t="str">
        <f>TEXT(A2273,"ddd")</f>
        <v>Sat</v>
      </c>
    </row>
    <row r="2274" spans="1:8" x14ac:dyDescent="0.25">
      <c r="A2274" s="13"/>
      <c r="B2274" s="14"/>
      <c r="C2274" s="39"/>
      <c r="D2274" s="39"/>
      <c r="E2274" s="36" t="str">
        <f>IF(SUM(C2274:D2274)=0," ",SUM(C2274:D2274))</f>
        <v xml:space="preserve"> </v>
      </c>
      <c r="F2274" s="14"/>
      <c r="G2274" s="120" t="e">
        <f>VLOOKUP($B2274,Information!$C$8:$F$15,4,FALSE)</f>
        <v>#N/A</v>
      </c>
      <c r="H2274" s="210" t="str">
        <f>TEXT(A2274,"ddd")</f>
        <v>Sat</v>
      </c>
    </row>
    <row r="2275" spans="1:8" x14ac:dyDescent="0.25">
      <c r="A2275" s="13"/>
      <c r="B2275" s="14"/>
      <c r="C2275" s="39"/>
      <c r="D2275" s="39"/>
      <c r="E2275" s="36" t="str">
        <f>IF(SUM(C2275:D2275)=0," ",SUM(C2275:D2275))</f>
        <v xml:space="preserve"> </v>
      </c>
      <c r="F2275" s="14"/>
      <c r="G2275" s="120" t="e">
        <f>VLOOKUP($B2275,Information!$C$8:$F$15,4,FALSE)</f>
        <v>#N/A</v>
      </c>
      <c r="H2275" s="210" t="str">
        <f>TEXT(A2275,"ddd")</f>
        <v>Sat</v>
      </c>
    </row>
    <row r="2276" spans="1:8" x14ac:dyDescent="0.25">
      <c r="A2276" s="13"/>
      <c r="B2276" s="14"/>
      <c r="C2276" s="39"/>
      <c r="D2276" s="39"/>
      <c r="E2276" s="36" t="str">
        <f>IF(SUM(C2276:D2276)=0," ",SUM(C2276:D2276))</f>
        <v xml:space="preserve"> </v>
      </c>
      <c r="F2276" s="14"/>
      <c r="G2276" s="120" t="e">
        <f>VLOOKUP($B2276,Information!$C$8:$F$15,4,FALSE)</f>
        <v>#N/A</v>
      </c>
      <c r="H2276" s="210" t="str">
        <f>TEXT(A2276,"ddd")</f>
        <v>Sat</v>
      </c>
    </row>
    <row r="2277" spans="1:8" x14ac:dyDescent="0.25">
      <c r="A2277" s="13"/>
      <c r="B2277" s="14"/>
      <c r="C2277" s="39"/>
      <c r="D2277" s="39"/>
      <c r="E2277" s="36" t="str">
        <f>IF(SUM(C2277:D2277)=0," ",SUM(C2277:D2277))</f>
        <v xml:space="preserve"> </v>
      </c>
      <c r="F2277" s="14"/>
      <c r="G2277" s="120" t="e">
        <f>VLOOKUP($B2277,Information!$C$8:$F$15,4,FALSE)</f>
        <v>#N/A</v>
      </c>
      <c r="H2277" s="210" t="str">
        <f>TEXT(A2277,"ddd")</f>
        <v>Sat</v>
      </c>
    </row>
    <row r="2278" spans="1:8" x14ac:dyDescent="0.25">
      <c r="A2278" s="13"/>
      <c r="B2278" s="14"/>
      <c r="C2278" s="39"/>
      <c r="D2278" s="39"/>
      <c r="E2278" s="36" t="str">
        <f>IF(SUM(C2278:D2278)=0," ",SUM(C2278:D2278))</f>
        <v xml:space="preserve"> </v>
      </c>
      <c r="F2278" s="14"/>
      <c r="G2278" s="120" t="e">
        <f>VLOOKUP($B2278,Information!$C$8:$F$15,4,FALSE)</f>
        <v>#N/A</v>
      </c>
      <c r="H2278" s="210" t="str">
        <f>TEXT(A2278,"ddd")</f>
        <v>Sat</v>
      </c>
    </row>
    <row r="2279" spans="1:8" x14ac:dyDescent="0.25">
      <c r="A2279" s="13"/>
      <c r="B2279" s="14"/>
      <c r="C2279" s="39"/>
      <c r="D2279" s="39"/>
      <c r="E2279" s="36" t="str">
        <f>IF(SUM(C2279:D2279)=0," ",SUM(C2279:D2279))</f>
        <v xml:space="preserve"> </v>
      </c>
      <c r="F2279" s="14"/>
      <c r="G2279" s="120" t="e">
        <f>VLOOKUP($B2279,Information!$C$8:$F$15,4,FALSE)</f>
        <v>#N/A</v>
      </c>
      <c r="H2279" s="210" t="str">
        <f>TEXT(A2279,"ddd")</f>
        <v>Sat</v>
      </c>
    </row>
    <row r="2280" spans="1:8" x14ac:dyDescent="0.25">
      <c r="A2280" s="13"/>
      <c r="B2280" s="14"/>
      <c r="C2280" s="39"/>
      <c r="D2280" s="39"/>
      <c r="E2280" s="36" t="str">
        <f>IF(SUM(C2280:D2280)=0," ",SUM(C2280:D2280))</f>
        <v xml:space="preserve"> </v>
      </c>
      <c r="F2280" s="14"/>
      <c r="G2280" s="120" t="e">
        <f>VLOOKUP($B2280,Information!$C$8:$F$15,4,FALSE)</f>
        <v>#N/A</v>
      </c>
      <c r="H2280" s="210" t="str">
        <f>TEXT(A2280,"ddd")</f>
        <v>Sat</v>
      </c>
    </row>
    <row r="2281" spans="1:8" x14ac:dyDescent="0.25">
      <c r="A2281" s="13"/>
      <c r="B2281" s="14"/>
      <c r="C2281" s="39"/>
      <c r="D2281" s="39"/>
      <c r="E2281" s="36" t="str">
        <f>IF(SUM(C2281:D2281)=0," ",SUM(C2281:D2281))</f>
        <v xml:space="preserve"> </v>
      </c>
      <c r="F2281" s="14"/>
      <c r="G2281" s="120" t="e">
        <f>VLOOKUP($B2281,Information!$C$8:$F$15,4,FALSE)</f>
        <v>#N/A</v>
      </c>
      <c r="H2281" s="210" t="str">
        <f>TEXT(A2281,"ddd")</f>
        <v>Sat</v>
      </c>
    </row>
    <row r="2282" spans="1:8" x14ac:dyDescent="0.25">
      <c r="A2282" s="13"/>
      <c r="B2282" s="14"/>
      <c r="C2282" s="39"/>
      <c r="D2282" s="39"/>
      <c r="E2282" s="36" t="str">
        <f>IF(SUM(C2282:D2282)=0," ",SUM(C2282:D2282))</f>
        <v xml:space="preserve"> </v>
      </c>
      <c r="F2282" s="14"/>
      <c r="G2282" s="120" t="e">
        <f>VLOOKUP($B2282,Information!$C$8:$F$15,4,FALSE)</f>
        <v>#N/A</v>
      </c>
      <c r="H2282" s="210" t="str">
        <f>TEXT(A2282,"ddd")</f>
        <v>Sat</v>
      </c>
    </row>
    <row r="2283" spans="1:8" x14ac:dyDescent="0.25">
      <c r="A2283" s="13"/>
      <c r="B2283" s="14"/>
      <c r="C2283" s="39"/>
      <c r="D2283" s="39"/>
      <c r="E2283" s="36" t="str">
        <f>IF(SUM(C2283:D2283)=0," ",SUM(C2283:D2283))</f>
        <v xml:space="preserve"> </v>
      </c>
      <c r="F2283" s="14"/>
      <c r="G2283" s="120" t="e">
        <f>VLOOKUP($B2283,Information!$C$8:$F$15,4,FALSE)</f>
        <v>#N/A</v>
      </c>
      <c r="H2283" s="210" t="str">
        <f>TEXT(A2283,"ddd")</f>
        <v>Sat</v>
      </c>
    </row>
    <row r="2284" spans="1:8" x14ac:dyDescent="0.25">
      <c r="A2284" s="13"/>
      <c r="B2284" s="14"/>
      <c r="C2284" s="39"/>
      <c r="D2284" s="39"/>
      <c r="E2284" s="36" t="str">
        <f>IF(SUM(C2284:D2284)=0," ",SUM(C2284:D2284))</f>
        <v xml:space="preserve"> </v>
      </c>
      <c r="F2284" s="14"/>
      <c r="G2284" s="120" t="e">
        <f>VLOOKUP($B2284,Information!$C$8:$F$15,4,FALSE)</f>
        <v>#N/A</v>
      </c>
      <c r="H2284" s="210" t="str">
        <f>TEXT(A2284,"ddd")</f>
        <v>Sat</v>
      </c>
    </row>
    <row r="2285" spans="1:8" x14ac:dyDescent="0.25">
      <c r="A2285" s="13"/>
      <c r="B2285" s="14"/>
      <c r="C2285" s="39"/>
      <c r="D2285" s="39"/>
      <c r="E2285" s="36" t="str">
        <f>IF(SUM(C2285:D2285)=0," ",SUM(C2285:D2285))</f>
        <v xml:space="preserve"> </v>
      </c>
      <c r="F2285" s="14"/>
      <c r="G2285" s="120" t="e">
        <f>VLOOKUP($B2285,Information!$C$8:$F$15,4,FALSE)</f>
        <v>#N/A</v>
      </c>
      <c r="H2285" s="210" t="str">
        <f>TEXT(A2285,"ddd")</f>
        <v>Sat</v>
      </c>
    </row>
    <row r="2286" spans="1:8" x14ac:dyDescent="0.25">
      <c r="A2286" s="13"/>
      <c r="B2286" s="14"/>
      <c r="C2286" s="39"/>
      <c r="D2286" s="39"/>
      <c r="E2286" s="36" t="str">
        <f>IF(SUM(C2286:D2286)=0," ",SUM(C2286:D2286))</f>
        <v xml:space="preserve"> </v>
      </c>
      <c r="F2286" s="14"/>
      <c r="G2286" s="120" t="e">
        <f>VLOOKUP($B2286,Information!$C$8:$F$15,4,FALSE)</f>
        <v>#N/A</v>
      </c>
      <c r="H2286" s="210" t="str">
        <f>TEXT(A2286,"ddd")</f>
        <v>Sat</v>
      </c>
    </row>
    <row r="2287" spans="1:8" x14ac:dyDescent="0.25">
      <c r="A2287" s="13"/>
      <c r="B2287" s="14"/>
      <c r="C2287" s="39"/>
      <c r="D2287" s="39"/>
      <c r="E2287" s="36" t="str">
        <f>IF(SUM(C2287:D2287)=0," ",SUM(C2287:D2287))</f>
        <v xml:space="preserve"> </v>
      </c>
      <c r="F2287" s="14"/>
      <c r="G2287" s="120" t="e">
        <f>VLOOKUP($B2287,Information!$C$8:$F$15,4,FALSE)</f>
        <v>#N/A</v>
      </c>
      <c r="H2287" s="210" t="str">
        <f>TEXT(A2287,"ddd")</f>
        <v>Sat</v>
      </c>
    </row>
    <row r="2288" spans="1:8" x14ac:dyDescent="0.25">
      <c r="A2288" s="13"/>
      <c r="B2288" s="14"/>
      <c r="C2288" s="39"/>
      <c r="D2288" s="39"/>
      <c r="E2288" s="36" t="str">
        <f>IF(SUM(C2288:D2288)=0," ",SUM(C2288:D2288))</f>
        <v xml:space="preserve"> </v>
      </c>
      <c r="F2288" s="14"/>
      <c r="G2288" s="120" t="e">
        <f>VLOOKUP($B2288,Information!$C$8:$F$15,4,FALSE)</f>
        <v>#N/A</v>
      </c>
      <c r="H2288" s="210" t="str">
        <f>TEXT(A2288,"ddd")</f>
        <v>Sat</v>
      </c>
    </row>
    <row r="2289" spans="1:8" x14ac:dyDescent="0.25">
      <c r="A2289" s="13"/>
      <c r="B2289" s="14"/>
      <c r="C2289" s="39"/>
      <c r="D2289" s="39"/>
      <c r="E2289" s="36" t="str">
        <f>IF(SUM(C2289:D2289)=0," ",SUM(C2289:D2289))</f>
        <v xml:space="preserve"> </v>
      </c>
      <c r="F2289" s="14"/>
      <c r="G2289" s="120" t="e">
        <f>VLOOKUP($B2289,Information!$C$8:$F$15,4,FALSE)</f>
        <v>#N/A</v>
      </c>
      <c r="H2289" s="210" t="str">
        <f>TEXT(A2289,"ddd")</f>
        <v>Sat</v>
      </c>
    </row>
    <row r="2290" spans="1:8" x14ac:dyDescent="0.25">
      <c r="A2290" s="13"/>
      <c r="B2290" s="14"/>
      <c r="C2290" s="39"/>
      <c r="D2290" s="39"/>
      <c r="E2290" s="36" t="str">
        <f>IF(SUM(C2290:D2290)=0," ",SUM(C2290:D2290))</f>
        <v xml:space="preserve"> </v>
      </c>
      <c r="F2290" s="14"/>
      <c r="G2290" s="120" t="e">
        <f>VLOOKUP($B2290,Information!$C$8:$F$15,4,FALSE)</f>
        <v>#N/A</v>
      </c>
      <c r="H2290" s="210" t="str">
        <f>TEXT(A2290,"ddd")</f>
        <v>Sat</v>
      </c>
    </row>
    <row r="2291" spans="1:8" x14ac:dyDescent="0.25">
      <c r="A2291" s="13"/>
      <c r="B2291" s="14"/>
      <c r="C2291" s="39"/>
      <c r="D2291" s="39"/>
      <c r="E2291" s="36" t="str">
        <f>IF(SUM(C2291:D2291)=0," ",SUM(C2291:D2291))</f>
        <v xml:space="preserve"> </v>
      </c>
      <c r="F2291" s="14"/>
      <c r="G2291" s="120" t="e">
        <f>VLOOKUP($B2291,Information!$C$8:$F$15,4,FALSE)</f>
        <v>#N/A</v>
      </c>
      <c r="H2291" s="210" t="str">
        <f>TEXT(A2291,"ddd")</f>
        <v>Sat</v>
      </c>
    </row>
    <row r="2292" spans="1:8" x14ac:dyDescent="0.25">
      <c r="A2292" s="13"/>
      <c r="B2292" s="14"/>
      <c r="C2292" s="39"/>
      <c r="D2292" s="39"/>
      <c r="E2292" s="36" t="str">
        <f>IF(SUM(C2292:D2292)=0," ",SUM(C2292:D2292))</f>
        <v xml:space="preserve"> </v>
      </c>
      <c r="F2292" s="14"/>
      <c r="G2292" s="120" t="e">
        <f>VLOOKUP($B2292,Information!$C$8:$F$15,4,FALSE)</f>
        <v>#N/A</v>
      </c>
      <c r="H2292" s="210" t="str">
        <f>TEXT(A2292,"ddd")</f>
        <v>Sat</v>
      </c>
    </row>
    <row r="2293" spans="1:8" x14ac:dyDescent="0.25">
      <c r="A2293" s="13"/>
      <c r="B2293" s="14"/>
      <c r="C2293" s="39"/>
      <c r="D2293" s="39"/>
      <c r="E2293" s="36" t="str">
        <f>IF(SUM(C2293:D2293)=0," ",SUM(C2293:D2293))</f>
        <v xml:space="preserve"> </v>
      </c>
      <c r="F2293" s="14"/>
      <c r="G2293" s="120" t="e">
        <f>VLOOKUP($B2293,Information!$C$8:$F$15,4,FALSE)</f>
        <v>#N/A</v>
      </c>
      <c r="H2293" s="210" t="str">
        <f>TEXT(A2293,"ddd")</f>
        <v>Sat</v>
      </c>
    </row>
    <row r="2294" spans="1:8" x14ac:dyDescent="0.25">
      <c r="A2294" s="13"/>
      <c r="B2294" s="14"/>
      <c r="C2294" s="39"/>
      <c r="D2294" s="39"/>
      <c r="E2294" s="36" t="str">
        <f>IF(SUM(C2294:D2294)=0," ",SUM(C2294:D2294))</f>
        <v xml:space="preserve"> </v>
      </c>
      <c r="F2294" s="14"/>
      <c r="G2294" s="120" t="e">
        <f>VLOOKUP($B2294,Information!$C$8:$F$15,4,FALSE)</f>
        <v>#N/A</v>
      </c>
      <c r="H2294" s="210" t="str">
        <f>TEXT(A2294,"ddd")</f>
        <v>Sat</v>
      </c>
    </row>
    <row r="2295" spans="1:8" x14ac:dyDescent="0.25">
      <c r="A2295" s="13"/>
      <c r="B2295" s="14"/>
      <c r="C2295" s="39"/>
      <c r="D2295" s="39"/>
      <c r="E2295" s="36" t="str">
        <f>IF(SUM(C2295:D2295)=0," ",SUM(C2295:D2295))</f>
        <v xml:space="preserve"> </v>
      </c>
      <c r="F2295" s="14"/>
      <c r="G2295" s="120" t="e">
        <f>VLOOKUP($B2295,Information!$C$8:$F$15,4,FALSE)</f>
        <v>#N/A</v>
      </c>
      <c r="H2295" s="210" t="str">
        <f>TEXT(A2295,"ddd")</f>
        <v>Sat</v>
      </c>
    </row>
    <row r="2296" spans="1:8" x14ac:dyDescent="0.25">
      <c r="A2296" s="13"/>
      <c r="B2296" s="14"/>
      <c r="C2296" s="39"/>
      <c r="D2296" s="39"/>
      <c r="E2296" s="36" t="str">
        <f>IF(SUM(C2296:D2296)=0," ",SUM(C2296:D2296))</f>
        <v xml:space="preserve"> </v>
      </c>
      <c r="F2296" s="14"/>
      <c r="G2296" s="120" t="e">
        <f>VLOOKUP($B2296,Information!$C$8:$F$15,4,FALSE)</f>
        <v>#N/A</v>
      </c>
      <c r="H2296" s="210" t="str">
        <f>TEXT(A2296,"ddd")</f>
        <v>Sat</v>
      </c>
    </row>
    <row r="2297" spans="1:8" x14ac:dyDescent="0.25">
      <c r="A2297" s="13"/>
      <c r="B2297" s="14"/>
      <c r="C2297" s="39"/>
      <c r="D2297" s="39"/>
      <c r="E2297" s="36" t="str">
        <f>IF(SUM(C2297:D2297)=0," ",SUM(C2297:D2297))</f>
        <v xml:space="preserve"> </v>
      </c>
      <c r="F2297" s="14"/>
      <c r="G2297" s="120" t="e">
        <f>VLOOKUP($B2297,Information!$C$8:$F$15,4,FALSE)</f>
        <v>#N/A</v>
      </c>
      <c r="H2297" s="210" t="str">
        <f>TEXT(A2297,"ddd")</f>
        <v>Sat</v>
      </c>
    </row>
    <row r="2298" spans="1:8" x14ac:dyDescent="0.25">
      <c r="A2298" s="13"/>
      <c r="B2298" s="14"/>
      <c r="C2298" s="39"/>
      <c r="D2298" s="39"/>
      <c r="E2298" s="36" t="str">
        <f>IF(SUM(C2298:D2298)=0," ",SUM(C2298:D2298))</f>
        <v xml:space="preserve"> </v>
      </c>
      <c r="F2298" s="14"/>
      <c r="G2298" s="120" t="e">
        <f>VLOOKUP($B2298,Information!$C$8:$F$15,4,FALSE)</f>
        <v>#N/A</v>
      </c>
      <c r="H2298" s="210" t="str">
        <f>TEXT(A2298,"ddd")</f>
        <v>Sat</v>
      </c>
    </row>
    <row r="2299" spans="1:8" x14ac:dyDescent="0.25">
      <c r="A2299" s="13"/>
      <c r="B2299" s="14"/>
      <c r="C2299" s="39"/>
      <c r="D2299" s="39"/>
      <c r="E2299" s="36" t="str">
        <f>IF(SUM(C2299:D2299)=0," ",SUM(C2299:D2299))</f>
        <v xml:space="preserve"> </v>
      </c>
      <c r="F2299" s="14"/>
      <c r="G2299" s="120" t="e">
        <f>VLOOKUP($B2299,Information!$C$8:$F$15,4,FALSE)</f>
        <v>#N/A</v>
      </c>
      <c r="H2299" s="210" t="str">
        <f>TEXT(A2299,"ddd")</f>
        <v>Sat</v>
      </c>
    </row>
    <row r="2300" spans="1:8" x14ac:dyDescent="0.25">
      <c r="A2300" s="13"/>
      <c r="B2300" s="14"/>
      <c r="C2300" s="39"/>
      <c r="D2300" s="39"/>
      <c r="E2300" s="36" t="str">
        <f>IF(SUM(C2300:D2300)=0," ",SUM(C2300:D2300))</f>
        <v xml:space="preserve"> </v>
      </c>
      <c r="F2300" s="14"/>
      <c r="G2300" s="120" t="e">
        <f>VLOOKUP($B2300,Information!$C$8:$F$15,4,FALSE)</f>
        <v>#N/A</v>
      </c>
      <c r="H2300" s="210" t="str">
        <f>TEXT(A2300,"ddd")</f>
        <v>Sat</v>
      </c>
    </row>
    <row r="2301" spans="1:8" x14ac:dyDescent="0.25">
      <c r="A2301" s="13"/>
      <c r="B2301" s="14"/>
      <c r="C2301" s="39"/>
      <c r="D2301" s="39"/>
      <c r="E2301" s="36" t="str">
        <f>IF(SUM(C2301:D2301)=0," ",SUM(C2301:D2301))</f>
        <v xml:space="preserve"> </v>
      </c>
      <c r="F2301" s="14"/>
      <c r="G2301" s="120" t="e">
        <f>VLOOKUP($B2301,Information!$C$8:$F$15,4,FALSE)</f>
        <v>#N/A</v>
      </c>
      <c r="H2301" s="210" t="str">
        <f>TEXT(A2301,"ddd")</f>
        <v>Sat</v>
      </c>
    </row>
    <row r="2302" spans="1:8" x14ac:dyDescent="0.25">
      <c r="A2302" s="13"/>
      <c r="B2302" s="14"/>
      <c r="C2302" s="39"/>
      <c r="D2302" s="39"/>
      <c r="E2302" s="36" t="str">
        <f>IF(SUM(C2302:D2302)=0," ",SUM(C2302:D2302))</f>
        <v xml:space="preserve"> </v>
      </c>
      <c r="F2302" s="14"/>
      <c r="G2302" s="120" t="e">
        <f>VLOOKUP($B2302,Information!$C$8:$F$15,4,FALSE)</f>
        <v>#N/A</v>
      </c>
      <c r="H2302" s="210" t="str">
        <f>TEXT(A2302,"ddd")</f>
        <v>Sat</v>
      </c>
    </row>
    <row r="2303" spans="1:8" x14ac:dyDescent="0.25">
      <c r="A2303" s="13"/>
      <c r="B2303" s="14"/>
      <c r="C2303" s="39"/>
      <c r="D2303" s="39"/>
      <c r="E2303" s="36" t="str">
        <f>IF(SUM(C2303:D2303)=0," ",SUM(C2303:D2303))</f>
        <v xml:space="preserve"> </v>
      </c>
      <c r="F2303" s="14"/>
      <c r="G2303" s="120" t="e">
        <f>VLOOKUP($B2303,Information!$C$8:$F$15,4,FALSE)</f>
        <v>#N/A</v>
      </c>
      <c r="H2303" s="210" t="str">
        <f>TEXT(A2303,"ddd")</f>
        <v>Sat</v>
      </c>
    </row>
    <row r="2304" spans="1:8" x14ac:dyDescent="0.25">
      <c r="A2304" s="13"/>
      <c r="B2304" s="14"/>
      <c r="C2304" s="39"/>
      <c r="D2304" s="39"/>
      <c r="E2304" s="36" t="str">
        <f>IF(SUM(C2304:D2304)=0," ",SUM(C2304:D2304))</f>
        <v xml:space="preserve"> </v>
      </c>
      <c r="F2304" s="14"/>
      <c r="G2304" s="120" t="e">
        <f>VLOOKUP($B2304,Information!$C$8:$F$15,4,FALSE)</f>
        <v>#N/A</v>
      </c>
      <c r="H2304" s="210" t="str">
        <f>TEXT(A2304,"ddd")</f>
        <v>Sat</v>
      </c>
    </row>
    <row r="2305" spans="1:8" x14ac:dyDescent="0.25">
      <c r="A2305" s="13"/>
      <c r="B2305" s="14"/>
      <c r="C2305" s="39"/>
      <c r="D2305" s="39"/>
      <c r="E2305" s="36" t="str">
        <f>IF(SUM(C2305:D2305)=0," ",SUM(C2305:D2305))</f>
        <v xml:space="preserve"> </v>
      </c>
      <c r="F2305" s="14"/>
      <c r="G2305" s="120" t="e">
        <f>VLOOKUP($B2305,Information!$C$8:$F$15,4,FALSE)</f>
        <v>#N/A</v>
      </c>
      <c r="H2305" s="210" t="str">
        <f>TEXT(A2305,"ddd")</f>
        <v>Sat</v>
      </c>
    </row>
    <row r="2306" spans="1:8" x14ac:dyDescent="0.25">
      <c r="A2306" s="13"/>
      <c r="B2306" s="14"/>
      <c r="C2306" s="39"/>
      <c r="D2306" s="39"/>
      <c r="E2306" s="36" t="str">
        <f>IF(SUM(C2306:D2306)=0," ",SUM(C2306:D2306))</f>
        <v xml:space="preserve"> </v>
      </c>
      <c r="F2306" s="14"/>
      <c r="G2306" s="120" t="e">
        <f>VLOOKUP($B2306,Information!$C$8:$F$15,4,FALSE)</f>
        <v>#N/A</v>
      </c>
      <c r="H2306" s="210" t="str">
        <f>TEXT(A2306,"ddd")</f>
        <v>Sat</v>
      </c>
    </row>
    <row r="2307" spans="1:8" x14ac:dyDescent="0.25">
      <c r="A2307" s="13"/>
      <c r="B2307" s="14"/>
      <c r="C2307" s="39"/>
      <c r="D2307" s="39"/>
      <c r="E2307" s="36" t="str">
        <f>IF(SUM(C2307:D2307)=0," ",SUM(C2307:D2307))</f>
        <v xml:space="preserve"> </v>
      </c>
      <c r="F2307" s="14"/>
      <c r="G2307" s="120" t="e">
        <f>VLOOKUP($B2307,Information!$C$8:$F$15,4,FALSE)</f>
        <v>#N/A</v>
      </c>
      <c r="H2307" s="210" t="str">
        <f>TEXT(A2307,"ddd")</f>
        <v>Sat</v>
      </c>
    </row>
    <row r="2308" spans="1:8" x14ac:dyDescent="0.25">
      <c r="A2308" s="13"/>
      <c r="B2308" s="14"/>
      <c r="C2308" s="39"/>
      <c r="D2308" s="39"/>
      <c r="E2308" s="36" t="str">
        <f>IF(SUM(C2308:D2308)=0," ",SUM(C2308:D2308))</f>
        <v xml:space="preserve"> </v>
      </c>
      <c r="F2308" s="14"/>
      <c r="G2308" s="120" t="e">
        <f>VLOOKUP($B2308,Information!$C$8:$F$15,4,FALSE)</f>
        <v>#N/A</v>
      </c>
      <c r="H2308" s="210" t="str">
        <f>TEXT(A2308,"ddd")</f>
        <v>Sat</v>
      </c>
    </row>
    <row r="2309" spans="1:8" x14ac:dyDescent="0.25">
      <c r="A2309" s="13"/>
      <c r="B2309" s="14"/>
      <c r="C2309" s="39"/>
      <c r="D2309" s="39"/>
      <c r="E2309" s="36" t="str">
        <f>IF(SUM(C2309:D2309)=0," ",SUM(C2309:D2309))</f>
        <v xml:space="preserve"> </v>
      </c>
      <c r="F2309" s="14"/>
      <c r="G2309" s="120" t="e">
        <f>VLOOKUP($B2309,Information!$C$8:$F$15,4,FALSE)</f>
        <v>#N/A</v>
      </c>
      <c r="H2309" s="210" t="str">
        <f>TEXT(A2309,"ddd")</f>
        <v>Sat</v>
      </c>
    </row>
    <row r="2310" spans="1:8" x14ac:dyDescent="0.25">
      <c r="A2310" s="13"/>
      <c r="B2310" s="14"/>
      <c r="C2310" s="39"/>
      <c r="D2310" s="39"/>
      <c r="E2310" s="36" t="str">
        <f>IF(SUM(C2310:D2310)=0," ",SUM(C2310:D2310))</f>
        <v xml:space="preserve"> </v>
      </c>
      <c r="F2310" s="14"/>
      <c r="G2310" s="120" t="e">
        <f>VLOOKUP($B2310,Information!$C$8:$F$15,4,FALSE)</f>
        <v>#N/A</v>
      </c>
      <c r="H2310" s="210" t="str">
        <f>TEXT(A2310,"ddd")</f>
        <v>Sat</v>
      </c>
    </row>
    <row r="2311" spans="1:8" x14ac:dyDescent="0.25">
      <c r="A2311" s="13"/>
      <c r="B2311" s="14"/>
      <c r="C2311" s="39"/>
      <c r="D2311" s="39"/>
      <c r="E2311" s="36" t="str">
        <f>IF(SUM(C2311:D2311)=0," ",SUM(C2311:D2311))</f>
        <v xml:space="preserve"> </v>
      </c>
      <c r="F2311" s="14"/>
      <c r="G2311" s="120" t="e">
        <f>VLOOKUP($B2311,Information!$C$8:$F$15,4,FALSE)</f>
        <v>#N/A</v>
      </c>
      <c r="H2311" s="210" t="str">
        <f>TEXT(A2311,"ddd")</f>
        <v>Sat</v>
      </c>
    </row>
    <row r="2312" spans="1:8" x14ac:dyDescent="0.25">
      <c r="A2312" s="13"/>
      <c r="B2312" s="14"/>
      <c r="C2312" s="39"/>
      <c r="D2312" s="39"/>
      <c r="E2312" s="36" t="str">
        <f>IF(SUM(C2312:D2312)=0," ",SUM(C2312:D2312))</f>
        <v xml:space="preserve"> </v>
      </c>
      <c r="F2312" s="14"/>
      <c r="G2312" s="120" t="e">
        <f>VLOOKUP($B2312,Information!$C$8:$F$15,4,FALSE)</f>
        <v>#N/A</v>
      </c>
      <c r="H2312" s="210" t="str">
        <f>TEXT(A2312,"ddd")</f>
        <v>Sat</v>
      </c>
    </row>
    <row r="2313" spans="1:8" x14ac:dyDescent="0.25">
      <c r="A2313" s="13"/>
      <c r="B2313" s="14"/>
      <c r="C2313" s="39"/>
      <c r="D2313" s="39"/>
      <c r="E2313" s="36" t="str">
        <f>IF(SUM(C2313:D2313)=0," ",SUM(C2313:D2313))</f>
        <v xml:space="preserve"> </v>
      </c>
      <c r="F2313" s="14"/>
      <c r="G2313" s="120" t="e">
        <f>VLOOKUP($B2313,Information!$C$8:$F$15,4,FALSE)</f>
        <v>#N/A</v>
      </c>
      <c r="H2313" s="210" t="str">
        <f>TEXT(A2313,"ddd")</f>
        <v>Sat</v>
      </c>
    </row>
    <row r="2314" spans="1:8" x14ac:dyDescent="0.25">
      <c r="A2314" s="13"/>
      <c r="B2314" s="14"/>
      <c r="C2314" s="39"/>
      <c r="D2314" s="39"/>
      <c r="E2314" s="36" t="str">
        <f>IF(SUM(C2314:D2314)=0," ",SUM(C2314:D2314))</f>
        <v xml:space="preserve"> </v>
      </c>
      <c r="F2314" s="14"/>
      <c r="G2314" s="120" t="e">
        <f>VLOOKUP($B2314,Information!$C$8:$F$15,4,FALSE)</f>
        <v>#N/A</v>
      </c>
      <c r="H2314" s="210" t="str">
        <f>TEXT(A2314,"ddd")</f>
        <v>Sat</v>
      </c>
    </row>
    <row r="2315" spans="1:8" x14ac:dyDescent="0.25">
      <c r="A2315" s="13"/>
      <c r="B2315" s="14"/>
      <c r="C2315" s="39"/>
      <c r="D2315" s="39"/>
      <c r="E2315" s="36" t="str">
        <f>IF(SUM(C2315:D2315)=0," ",SUM(C2315:D2315))</f>
        <v xml:space="preserve"> </v>
      </c>
      <c r="F2315" s="14"/>
      <c r="G2315" s="120" t="e">
        <f>VLOOKUP($B2315,Information!$C$8:$F$15,4,FALSE)</f>
        <v>#N/A</v>
      </c>
      <c r="H2315" s="210" t="str">
        <f>TEXT(A2315,"ddd")</f>
        <v>Sat</v>
      </c>
    </row>
    <row r="2316" spans="1:8" x14ac:dyDescent="0.25">
      <c r="A2316" s="13"/>
      <c r="B2316" s="14"/>
      <c r="C2316" s="39"/>
      <c r="D2316" s="39"/>
      <c r="E2316" s="36" t="str">
        <f>IF(SUM(C2316:D2316)=0," ",SUM(C2316:D2316))</f>
        <v xml:space="preserve"> </v>
      </c>
      <c r="F2316" s="14"/>
      <c r="G2316" s="120" t="e">
        <f>VLOOKUP($B2316,Information!$C$8:$F$15,4,FALSE)</f>
        <v>#N/A</v>
      </c>
      <c r="H2316" s="210" t="str">
        <f>TEXT(A2316,"ddd")</f>
        <v>Sat</v>
      </c>
    </row>
    <row r="2317" spans="1:8" x14ac:dyDescent="0.25">
      <c r="A2317" s="13"/>
      <c r="B2317" s="14"/>
      <c r="C2317" s="39"/>
      <c r="D2317" s="39"/>
      <c r="E2317" s="36" t="str">
        <f>IF(SUM(C2317:D2317)=0," ",SUM(C2317:D2317))</f>
        <v xml:space="preserve"> </v>
      </c>
      <c r="F2317" s="14"/>
      <c r="G2317" s="120" t="e">
        <f>VLOOKUP($B2317,Information!$C$8:$F$15,4,FALSE)</f>
        <v>#N/A</v>
      </c>
      <c r="H2317" s="210" t="str">
        <f>TEXT(A2317,"ddd")</f>
        <v>Sat</v>
      </c>
    </row>
    <row r="2318" spans="1:8" x14ac:dyDescent="0.25">
      <c r="A2318" s="13"/>
      <c r="B2318" s="14"/>
      <c r="C2318" s="39"/>
      <c r="D2318" s="39"/>
      <c r="E2318" s="36" t="str">
        <f>IF(SUM(C2318:D2318)=0," ",SUM(C2318:D2318))</f>
        <v xml:space="preserve"> </v>
      </c>
      <c r="F2318" s="14"/>
      <c r="G2318" s="120" t="e">
        <f>VLOOKUP($B2318,Information!$C$8:$F$15,4,FALSE)</f>
        <v>#N/A</v>
      </c>
      <c r="H2318" s="210" t="str">
        <f>TEXT(A2318,"ddd")</f>
        <v>Sat</v>
      </c>
    </row>
    <row r="2319" spans="1:8" x14ac:dyDescent="0.25">
      <c r="A2319" s="13"/>
      <c r="B2319" s="14"/>
      <c r="C2319" s="39"/>
      <c r="D2319" s="39"/>
      <c r="E2319" s="36" t="str">
        <f>IF(SUM(C2319:D2319)=0," ",SUM(C2319:D2319))</f>
        <v xml:space="preserve"> </v>
      </c>
      <c r="F2319" s="14"/>
      <c r="G2319" s="120" t="e">
        <f>VLOOKUP($B2319,Information!$C$8:$F$15,4,FALSE)</f>
        <v>#N/A</v>
      </c>
      <c r="H2319" s="210" t="str">
        <f>TEXT(A2319,"ddd")</f>
        <v>Sat</v>
      </c>
    </row>
    <row r="2320" spans="1:8" x14ac:dyDescent="0.25">
      <c r="A2320" s="13"/>
      <c r="B2320" s="14"/>
      <c r="C2320" s="39"/>
      <c r="D2320" s="39"/>
      <c r="E2320" s="36" t="str">
        <f>IF(SUM(C2320:D2320)=0," ",SUM(C2320:D2320))</f>
        <v xml:space="preserve"> </v>
      </c>
      <c r="F2320" s="14"/>
      <c r="G2320" s="120" t="e">
        <f>VLOOKUP($B2320,Information!$C$8:$F$15,4,FALSE)</f>
        <v>#N/A</v>
      </c>
      <c r="H2320" s="210" t="str">
        <f>TEXT(A2320,"ddd")</f>
        <v>Sat</v>
      </c>
    </row>
    <row r="2321" spans="1:8" x14ac:dyDescent="0.25">
      <c r="A2321" s="13"/>
      <c r="B2321" s="14"/>
      <c r="C2321" s="39"/>
      <c r="D2321" s="39"/>
      <c r="E2321" s="36" t="str">
        <f>IF(SUM(C2321:D2321)=0," ",SUM(C2321:D2321))</f>
        <v xml:space="preserve"> </v>
      </c>
      <c r="F2321" s="14"/>
      <c r="G2321" s="120" t="e">
        <f>VLOOKUP($B2321,Information!$C$8:$F$15,4,FALSE)</f>
        <v>#N/A</v>
      </c>
      <c r="H2321" s="210" t="str">
        <f>TEXT(A2321,"ddd")</f>
        <v>Sat</v>
      </c>
    </row>
    <row r="2322" spans="1:8" x14ac:dyDescent="0.25">
      <c r="A2322" s="13"/>
      <c r="B2322" s="14"/>
      <c r="C2322" s="39"/>
      <c r="D2322" s="39"/>
      <c r="E2322" s="36" t="str">
        <f>IF(SUM(C2322:D2322)=0," ",SUM(C2322:D2322))</f>
        <v xml:space="preserve"> </v>
      </c>
      <c r="F2322" s="14"/>
      <c r="G2322" s="120" t="e">
        <f>VLOOKUP($B2322,Information!$C$8:$F$15,4,FALSE)</f>
        <v>#N/A</v>
      </c>
      <c r="H2322" s="210" t="str">
        <f>TEXT(A2322,"ddd")</f>
        <v>Sat</v>
      </c>
    </row>
    <row r="2323" spans="1:8" x14ac:dyDescent="0.25">
      <c r="A2323" s="13"/>
      <c r="B2323" s="14"/>
      <c r="C2323" s="39"/>
      <c r="D2323" s="39"/>
      <c r="E2323" s="36" t="str">
        <f>IF(SUM(C2323:D2323)=0," ",SUM(C2323:D2323))</f>
        <v xml:space="preserve"> </v>
      </c>
      <c r="F2323" s="14"/>
      <c r="G2323" s="120" t="e">
        <f>VLOOKUP($B2323,Information!$C$8:$F$15,4,FALSE)</f>
        <v>#N/A</v>
      </c>
      <c r="H2323" s="210" t="str">
        <f>TEXT(A2323,"ddd")</f>
        <v>Sat</v>
      </c>
    </row>
    <row r="2324" spans="1:8" x14ac:dyDescent="0.25">
      <c r="A2324" s="13"/>
      <c r="B2324" s="14"/>
      <c r="C2324" s="39"/>
      <c r="D2324" s="39"/>
      <c r="E2324" s="36" t="str">
        <f>IF(SUM(C2324:D2324)=0," ",SUM(C2324:D2324))</f>
        <v xml:space="preserve"> </v>
      </c>
      <c r="F2324" s="14"/>
      <c r="G2324" s="120" t="e">
        <f>VLOOKUP($B2324,Information!$C$8:$F$15,4,FALSE)</f>
        <v>#N/A</v>
      </c>
      <c r="H2324" s="210" t="str">
        <f>TEXT(A2324,"ddd")</f>
        <v>Sat</v>
      </c>
    </row>
    <row r="2325" spans="1:8" x14ac:dyDescent="0.25">
      <c r="A2325" s="13"/>
      <c r="B2325" s="14"/>
      <c r="C2325" s="39"/>
      <c r="D2325" s="39"/>
      <c r="E2325" s="36" t="str">
        <f>IF(SUM(C2325:D2325)=0," ",SUM(C2325:D2325))</f>
        <v xml:space="preserve"> </v>
      </c>
      <c r="F2325" s="14"/>
      <c r="G2325" s="120" t="e">
        <f>VLOOKUP($B2325,Information!$C$8:$F$15,4,FALSE)</f>
        <v>#N/A</v>
      </c>
      <c r="H2325" s="210" t="str">
        <f>TEXT(A2325,"ddd")</f>
        <v>Sat</v>
      </c>
    </row>
    <row r="2326" spans="1:8" x14ac:dyDescent="0.25">
      <c r="A2326" s="13"/>
      <c r="B2326" s="14"/>
      <c r="C2326" s="39"/>
      <c r="D2326" s="39"/>
      <c r="E2326" s="36" t="str">
        <f>IF(SUM(C2326:D2326)=0," ",SUM(C2326:D2326))</f>
        <v xml:space="preserve"> </v>
      </c>
      <c r="F2326" s="14"/>
      <c r="G2326" s="120" t="e">
        <f>VLOOKUP($B2326,Information!$C$8:$F$15,4,FALSE)</f>
        <v>#N/A</v>
      </c>
      <c r="H2326" s="210" t="str">
        <f>TEXT(A2326,"ddd")</f>
        <v>Sat</v>
      </c>
    </row>
    <row r="2327" spans="1:8" x14ac:dyDescent="0.25">
      <c r="A2327" s="13"/>
      <c r="B2327" s="14"/>
      <c r="C2327" s="39"/>
      <c r="D2327" s="39"/>
      <c r="E2327" s="36" t="str">
        <f>IF(SUM(C2327:D2327)=0," ",SUM(C2327:D2327))</f>
        <v xml:space="preserve"> </v>
      </c>
      <c r="F2327" s="14"/>
      <c r="G2327" s="120" t="e">
        <f>VLOOKUP($B2327,Information!$C$8:$F$15,4,FALSE)</f>
        <v>#N/A</v>
      </c>
      <c r="H2327" s="210" t="str">
        <f>TEXT(A2327,"ddd")</f>
        <v>Sat</v>
      </c>
    </row>
    <row r="2328" spans="1:8" x14ac:dyDescent="0.25">
      <c r="A2328" s="13"/>
      <c r="B2328" s="14"/>
      <c r="C2328" s="39"/>
      <c r="D2328" s="39"/>
      <c r="E2328" s="36" t="str">
        <f>IF(SUM(C2328:D2328)=0," ",SUM(C2328:D2328))</f>
        <v xml:space="preserve"> </v>
      </c>
      <c r="F2328" s="14"/>
      <c r="G2328" s="120" t="e">
        <f>VLOOKUP($B2328,Information!$C$8:$F$15,4,FALSE)</f>
        <v>#N/A</v>
      </c>
      <c r="H2328" s="210" t="str">
        <f>TEXT(A2328,"ddd")</f>
        <v>Sat</v>
      </c>
    </row>
    <row r="2329" spans="1:8" x14ac:dyDescent="0.25">
      <c r="A2329" s="13"/>
      <c r="B2329" s="14"/>
      <c r="C2329" s="39"/>
      <c r="D2329" s="39"/>
      <c r="E2329" s="36" t="str">
        <f>IF(SUM(C2329:D2329)=0," ",SUM(C2329:D2329))</f>
        <v xml:space="preserve"> </v>
      </c>
      <c r="F2329" s="14"/>
      <c r="G2329" s="120" t="e">
        <f>VLOOKUP($B2329,Information!$C$8:$F$15,4,FALSE)</f>
        <v>#N/A</v>
      </c>
      <c r="H2329" s="210" t="str">
        <f>TEXT(A2329,"ddd")</f>
        <v>Sat</v>
      </c>
    </row>
    <row r="2330" spans="1:8" x14ac:dyDescent="0.25">
      <c r="A2330" s="13"/>
      <c r="B2330" s="14"/>
      <c r="C2330" s="39"/>
      <c r="D2330" s="39"/>
      <c r="E2330" s="36" t="str">
        <f>IF(SUM(C2330:D2330)=0," ",SUM(C2330:D2330))</f>
        <v xml:space="preserve"> </v>
      </c>
      <c r="F2330" s="14"/>
      <c r="G2330" s="120" t="e">
        <f>VLOOKUP($B2330,Information!$C$8:$F$15,4,FALSE)</f>
        <v>#N/A</v>
      </c>
      <c r="H2330" s="210" t="str">
        <f>TEXT(A2330,"ddd")</f>
        <v>Sat</v>
      </c>
    </row>
    <row r="2331" spans="1:8" x14ac:dyDescent="0.25">
      <c r="A2331" s="13"/>
      <c r="B2331" s="14"/>
      <c r="C2331" s="39"/>
      <c r="D2331" s="39"/>
      <c r="E2331" s="36" t="str">
        <f>IF(SUM(C2331:D2331)=0," ",SUM(C2331:D2331))</f>
        <v xml:space="preserve"> </v>
      </c>
      <c r="F2331" s="14"/>
      <c r="G2331" s="120" t="e">
        <f>VLOOKUP($B2331,Information!$C$8:$F$15,4,FALSE)</f>
        <v>#N/A</v>
      </c>
      <c r="H2331" s="210" t="str">
        <f>TEXT(A2331,"ddd")</f>
        <v>Sat</v>
      </c>
    </row>
    <row r="2332" spans="1:8" x14ac:dyDescent="0.25">
      <c r="A2332" s="13"/>
      <c r="B2332" s="14"/>
      <c r="C2332" s="39"/>
      <c r="D2332" s="39"/>
      <c r="E2332" s="36" t="str">
        <f>IF(SUM(C2332:D2332)=0," ",SUM(C2332:D2332))</f>
        <v xml:space="preserve"> </v>
      </c>
      <c r="F2332" s="14"/>
      <c r="G2332" s="120" t="e">
        <f>VLOOKUP($B2332,Information!$C$8:$F$15,4,FALSE)</f>
        <v>#N/A</v>
      </c>
      <c r="H2332" s="210" t="str">
        <f>TEXT(A2332,"ddd")</f>
        <v>Sat</v>
      </c>
    </row>
    <row r="2333" spans="1:8" x14ac:dyDescent="0.25">
      <c r="A2333" s="13"/>
      <c r="B2333" s="14"/>
      <c r="C2333" s="39"/>
      <c r="D2333" s="39"/>
      <c r="E2333" s="36" t="str">
        <f>IF(SUM(C2333:D2333)=0," ",SUM(C2333:D2333))</f>
        <v xml:space="preserve"> </v>
      </c>
      <c r="F2333" s="14"/>
      <c r="G2333" s="120" t="e">
        <f>VLOOKUP($B2333,Information!$C$8:$F$15,4,FALSE)</f>
        <v>#N/A</v>
      </c>
      <c r="H2333" s="210" t="str">
        <f>TEXT(A2333,"ddd")</f>
        <v>Sat</v>
      </c>
    </row>
    <row r="2334" spans="1:8" x14ac:dyDescent="0.25">
      <c r="A2334" s="13"/>
      <c r="B2334" s="14"/>
      <c r="C2334" s="39"/>
      <c r="D2334" s="39"/>
      <c r="E2334" s="36" t="str">
        <f>IF(SUM(C2334:D2334)=0," ",SUM(C2334:D2334))</f>
        <v xml:space="preserve"> </v>
      </c>
      <c r="F2334" s="14"/>
      <c r="G2334" s="120" t="e">
        <f>VLOOKUP($B2334,Information!$C$8:$F$15,4,FALSE)</f>
        <v>#N/A</v>
      </c>
      <c r="H2334" s="210" t="str">
        <f>TEXT(A2334,"ddd")</f>
        <v>Sat</v>
      </c>
    </row>
    <row r="2335" spans="1:8" x14ac:dyDescent="0.25">
      <c r="A2335" s="13"/>
      <c r="B2335" s="14"/>
      <c r="C2335" s="39"/>
      <c r="D2335" s="39"/>
      <c r="E2335" s="36" t="str">
        <f>IF(SUM(C2335:D2335)=0," ",SUM(C2335:D2335))</f>
        <v xml:space="preserve"> </v>
      </c>
      <c r="F2335" s="14"/>
      <c r="G2335" s="120" t="e">
        <f>VLOOKUP($B2335,Information!$C$8:$F$15,4,FALSE)</f>
        <v>#N/A</v>
      </c>
      <c r="H2335" s="210" t="str">
        <f>TEXT(A2335,"ddd")</f>
        <v>Sat</v>
      </c>
    </row>
    <row r="2336" spans="1:8" x14ac:dyDescent="0.25">
      <c r="A2336" s="13"/>
      <c r="B2336" s="14"/>
      <c r="C2336" s="39"/>
      <c r="D2336" s="39"/>
      <c r="E2336" s="36" t="str">
        <f>IF(SUM(C2336:D2336)=0," ",SUM(C2336:D2336))</f>
        <v xml:space="preserve"> </v>
      </c>
      <c r="F2336" s="14"/>
      <c r="G2336" s="120" t="e">
        <f>VLOOKUP($B2336,Information!$C$8:$F$15,4,FALSE)</f>
        <v>#N/A</v>
      </c>
      <c r="H2336" s="210" t="str">
        <f>TEXT(A2336,"ddd")</f>
        <v>Sat</v>
      </c>
    </row>
    <row r="2337" spans="1:8" x14ac:dyDescent="0.25">
      <c r="A2337" s="13"/>
      <c r="B2337" s="14"/>
      <c r="C2337" s="39"/>
      <c r="D2337" s="39"/>
      <c r="E2337" s="36" t="str">
        <f>IF(SUM(C2337:D2337)=0," ",SUM(C2337:D2337))</f>
        <v xml:space="preserve"> </v>
      </c>
      <c r="F2337" s="14"/>
      <c r="G2337" s="120" t="e">
        <f>VLOOKUP($B2337,Information!$C$8:$F$15,4,FALSE)</f>
        <v>#N/A</v>
      </c>
      <c r="H2337" s="210" t="str">
        <f>TEXT(A2337,"ddd")</f>
        <v>Sat</v>
      </c>
    </row>
    <row r="2338" spans="1:8" x14ac:dyDescent="0.25">
      <c r="A2338" s="13"/>
      <c r="B2338" s="14"/>
      <c r="C2338" s="39"/>
      <c r="D2338" s="39"/>
      <c r="E2338" s="36" t="str">
        <f>IF(SUM(C2338:D2338)=0," ",SUM(C2338:D2338))</f>
        <v xml:space="preserve"> </v>
      </c>
      <c r="F2338" s="14"/>
      <c r="G2338" s="120" t="e">
        <f>VLOOKUP($B2338,Information!$C$8:$F$15,4,FALSE)</f>
        <v>#N/A</v>
      </c>
      <c r="H2338" s="210" t="str">
        <f>TEXT(A2338,"ddd")</f>
        <v>Sat</v>
      </c>
    </row>
    <row r="2339" spans="1:8" x14ac:dyDescent="0.25">
      <c r="A2339" s="13"/>
      <c r="B2339" s="14"/>
      <c r="C2339" s="39"/>
      <c r="D2339" s="39"/>
      <c r="E2339" s="36" t="str">
        <f>IF(SUM(C2339:D2339)=0," ",SUM(C2339:D2339))</f>
        <v xml:space="preserve"> </v>
      </c>
      <c r="F2339" s="14"/>
      <c r="G2339" s="120" t="e">
        <f>VLOOKUP($B2339,Information!$C$8:$F$15,4,FALSE)</f>
        <v>#N/A</v>
      </c>
      <c r="H2339" s="210" t="str">
        <f>TEXT(A2339,"ddd")</f>
        <v>Sat</v>
      </c>
    </row>
    <row r="2340" spans="1:8" x14ac:dyDescent="0.25">
      <c r="A2340" s="13"/>
      <c r="B2340" s="14"/>
      <c r="C2340" s="39"/>
      <c r="D2340" s="39"/>
      <c r="E2340" s="36" t="str">
        <f>IF(SUM(C2340:D2340)=0," ",SUM(C2340:D2340))</f>
        <v xml:space="preserve"> </v>
      </c>
      <c r="F2340" s="14"/>
      <c r="G2340" s="120" t="e">
        <f>VLOOKUP($B2340,Information!$C$8:$F$15,4,FALSE)</f>
        <v>#N/A</v>
      </c>
      <c r="H2340" s="210" t="str">
        <f>TEXT(A2340,"ddd")</f>
        <v>Sat</v>
      </c>
    </row>
    <row r="2341" spans="1:8" x14ac:dyDescent="0.25">
      <c r="A2341" s="13"/>
      <c r="B2341" s="14"/>
      <c r="C2341" s="39"/>
      <c r="D2341" s="39"/>
      <c r="E2341" s="36" t="str">
        <f>IF(SUM(C2341:D2341)=0," ",SUM(C2341:D2341))</f>
        <v xml:space="preserve"> </v>
      </c>
      <c r="F2341" s="14"/>
      <c r="G2341" s="120" t="e">
        <f>VLOOKUP($B2341,Information!$C$8:$F$15,4,FALSE)</f>
        <v>#N/A</v>
      </c>
      <c r="H2341" s="210" t="str">
        <f>TEXT(A2341,"ddd")</f>
        <v>Sat</v>
      </c>
    </row>
    <row r="2342" spans="1:8" x14ac:dyDescent="0.25">
      <c r="A2342" s="13"/>
      <c r="B2342" s="14"/>
      <c r="C2342" s="39"/>
      <c r="D2342" s="39"/>
      <c r="E2342" s="36" t="str">
        <f>IF(SUM(C2342:D2342)=0," ",SUM(C2342:D2342))</f>
        <v xml:space="preserve"> </v>
      </c>
      <c r="F2342" s="14"/>
      <c r="G2342" s="120" t="e">
        <f>VLOOKUP($B2342,Information!$C$8:$F$15,4,FALSE)</f>
        <v>#N/A</v>
      </c>
      <c r="H2342" s="210" t="str">
        <f>TEXT(A2342,"ddd")</f>
        <v>Sat</v>
      </c>
    </row>
    <row r="2343" spans="1:8" x14ac:dyDescent="0.25">
      <c r="A2343" s="13"/>
      <c r="B2343" s="14"/>
      <c r="C2343" s="39"/>
      <c r="D2343" s="39"/>
      <c r="E2343" s="36" t="str">
        <f>IF(SUM(C2343:D2343)=0," ",SUM(C2343:D2343))</f>
        <v xml:space="preserve"> </v>
      </c>
      <c r="F2343" s="14"/>
      <c r="G2343" s="120" t="e">
        <f>VLOOKUP($B2343,Information!$C$8:$F$15,4,FALSE)</f>
        <v>#N/A</v>
      </c>
      <c r="H2343" s="210" t="str">
        <f>TEXT(A2343,"ddd")</f>
        <v>Sat</v>
      </c>
    </row>
    <row r="2344" spans="1:8" x14ac:dyDescent="0.25">
      <c r="A2344" s="13"/>
      <c r="B2344" s="14"/>
      <c r="C2344" s="39"/>
      <c r="D2344" s="39"/>
      <c r="E2344" s="36" t="str">
        <f>IF(SUM(C2344:D2344)=0," ",SUM(C2344:D2344))</f>
        <v xml:space="preserve"> </v>
      </c>
      <c r="F2344" s="14"/>
      <c r="G2344" s="120" t="e">
        <f>VLOOKUP($B2344,Information!$C$8:$F$15,4,FALSE)</f>
        <v>#N/A</v>
      </c>
      <c r="H2344" s="210" t="str">
        <f>TEXT(A2344,"ddd")</f>
        <v>Sat</v>
      </c>
    </row>
    <row r="2345" spans="1:8" x14ac:dyDescent="0.25">
      <c r="A2345" s="13"/>
      <c r="B2345" s="14"/>
      <c r="C2345" s="39"/>
      <c r="D2345" s="39"/>
      <c r="E2345" s="36" t="str">
        <f>IF(SUM(C2345:D2345)=0," ",SUM(C2345:D2345))</f>
        <v xml:space="preserve"> </v>
      </c>
      <c r="F2345" s="14"/>
      <c r="G2345" s="120" t="e">
        <f>VLOOKUP($B2345,Information!$C$8:$F$15,4,FALSE)</f>
        <v>#N/A</v>
      </c>
      <c r="H2345" s="210" t="str">
        <f>TEXT(A2345,"ddd")</f>
        <v>Sat</v>
      </c>
    </row>
    <row r="2346" spans="1:8" x14ac:dyDescent="0.25">
      <c r="A2346" s="13"/>
      <c r="B2346" s="14"/>
      <c r="C2346" s="39"/>
      <c r="D2346" s="39"/>
      <c r="E2346" s="36" t="str">
        <f>IF(SUM(C2346:D2346)=0," ",SUM(C2346:D2346))</f>
        <v xml:space="preserve"> </v>
      </c>
      <c r="F2346" s="14"/>
      <c r="G2346" s="120" t="e">
        <f>VLOOKUP($B2346,Information!$C$8:$F$15,4,FALSE)</f>
        <v>#N/A</v>
      </c>
      <c r="H2346" s="210" t="str">
        <f>TEXT(A2346,"ddd")</f>
        <v>Sat</v>
      </c>
    </row>
    <row r="2347" spans="1:8" x14ac:dyDescent="0.25">
      <c r="A2347" s="13"/>
      <c r="B2347" s="14"/>
      <c r="C2347" s="39"/>
      <c r="D2347" s="39"/>
      <c r="E2347" s="36" t="str">
        <f>IF(SUM(C2347:D2347)=0," ",SUM(C2347:D2347))</f>
        <v xml:space="preserve"> </v>
      </c>
      <c r="F2347" s="14"/>
      <c r="G2347" s="120" t="e">
        <f>VLOOKUP($B2347,Information!$C$8:$F$15,4,FALSE)</f>
        <v>#N/A</v>
      </c>
      <c r="H2347" s="210" t="str">
        <f>TEXT(A2347,"ddd")</f>
        <v>Sat</v>
      </c>
    </row>
    <row r="2348" spans="1:8" x14ac:dyDescent="0.25">
      <c r="A2348" s="13"/>
      <c r="B2348" s="14"/>
      <c r="C2348" s="39"/>
      <c r="D2348" s="39"/>
      <c r="E2348" s="36" t="str">
        <f>IF(SUM(C2348:D2348)=0," ",SUM(C2348:D2348))</f>
        <v xml:space="preserve"> </v>
      </c>
      <c r="F2348" s="14"/>
      <c r="G2348" s="120" t="e">
        <f>VLOOKUP($B2348,Information!$C$8:$F$15,4,FALSE)</f>
        <v>#N/A</v>
      </c>
      <c r="H2348" s="210" t="str">
        <f>TEXT(A2348,"ddd")</f>
        <v>Sat</v>
      </c>
    </row>
    <row r="2349" spans="1:8" x14ac:dyDescent="0.25">
      <c r="A2349" s="13"/>
      <c r="B2349" s="14"/>
      <c r="C2349" s="39"/>
      <c r="D2349" s="39"/>
      <c r="E2349" s="36" t="str">
        <f>IF(SUM(C2349:D2349)=0," ",SUM(C2349:D2349))</f>
        <v xml:space="preserve"> </v>
      </c>
      <c r="F2349" s="14"/>
      <c r="G2349" s="120" t="e">
        <f>VLOOKUP($B2349,Information!$C$8:$F$15,4,FALSE)</f>
        <v>#N/A</v>
      </c>
      <c r="H2349" s="210" t="str">
        <f>TEXT(A2349,"ddd")</f>
        <v>Sat</v>
      </c>
    </row>
    <row r="2350" spans="1:8" x14ac:dyDescent="0.25">
      <c r="A2350" s="13"/>
      <c r="B2350" s="14"/>
      <c r="C2350" s="39"/>
      <c r="D2350" s="39"/>
      <c r="E2350" s="36" t="str">
        <f>IF(SUM(C2350:D2350)=0," ",SUM(C2350:D2350))</f>
        <v xml:space="preserve"> </v>
      </c>
      <c r="F2350" s="14"/>
      <c r="G2350" s="120" t="e">
        <f>VLOOKUP($B2350,Information!$C$8:$F$15,4,FALSE)</f>
        <v>#N/A</v>
      </c>
      <c r="H2350" s="210" t="str">
        <f>TEXT(A2350,"ddd")</f>
        <v>Sat</v>
      </c>
    </row>
    <row r="2351" spans="1:8" x14ac:dyDescent="0.25">
      <c r="A2351" s="13"/>
      <c r="B2351" s="14"/>
      <c r="C2351" s="39"/>
      <c r="D2351" s="39"/>
      <c r="E2351" s="36" t="str">
        <f>IF(SUM(C2351:D2351)=0," ",SUM(C2351:D2351))</f>
        <v xml:space="preserve"> </v>
      </c>
      <c r="F2351" s="14"/>
      <c r="G2351" s="120" t="e">
        <f>VLOOKUP($B2351,Information!$C$8:$F$15,4,FALSE)</f>
        <v>#N/A</v>
      </c>
      <c r="H2351" s="210" t="str">
        <f>TEXT(A2351,"ddd")</f>
        <v>Sat</v>
      </c>
    </row>
    <row r="2352" spans="1:8" x14ac:dyDescent="0.25">
      <c r="A2352" s="13"/>
      <c r="B2352" s="14"/>
      <c r="C2352" s="39"/>
      <c r="D2352" s="39"/>
      <c r="E2352" s="36" t="str">
        <f>IF(SUM(C2352:D2352)=0," ",SUM(C2352:D2352))</f>
        <v xml:space="preserve"> </v>
      </c>
      <c r="F2352" s="14"/>
      <c r="G2352" s="120" t="e">
        <f>VLOOKUP($B2352,Information!$C$8:$F$15,4,FALSE)</f>
        <v>#N/A</v>
      </c>
      <c r="H2352" s="210" t="str">
        <f>TEXT(A2352,"ddd")</f>
        <v>Sat</v>
      </c>
    </row>
    <row r="2353" spans="1:8" x14ac:dyDescent="0.25">
      <c r="A2353" s="13"/>
      <c r="B2353" s="14"/>
      <c r="C2353" s="39"/>
      <c r="D2353" s="39"/>
      <c r="E2353" s="36" t="str">
        <f>IF(SUM(C2353:D2353)=0," ",SUM(C2353:D2353))</f>
        <v xml:space="preserve"> </v>
      </c>
      <c r="F2353" s="14"/>
      <c r="G2353" s="120" t="e">
        <f>VLOOKUP($B2353,Information!$C$8:$F$15,4,FALSE)</f>
        <v>#N/A</v>
      </c>
      <c r="H2353" s="210" t="str">
        <f>TEXT(A2353,"ddd")</f>
        <v>Sat</v>
      </c>
    </row>
    <row r="2354" spans="1:8" x14ac:dyDescent="0.25">
      <c r="A2354" s="13"/>
      <c r="B2354" s="14"/>
      <c r="C2354" s="39"/>
      <c r="D2354" s="39"/>
      <c r="E2354" s="36" t="str">
        <f>IF(SUM(C2354:D2354)=0," ",SUM(C2354:D2354))</f>
        <v xml:space="preserve"> </v>
      </c>
      <c r="F2354" s="14"/>
      <c r="G2354" s="120" t="e">
        <f>VLOOKUP($B2354,Information!$C$8:$F$15,4,FALSE)</f>
        <v>#N/A</v>
      </c>
      <c r="H2354" s="210" t="str">
        <f>TEXT(A2354,"ddd")</f>
        <v>Sat</v>
      </c>
    </row>
    <row r="2355" spans="1:8" x14ac:dyDescent="0.25">
      <c r="A2355" s="13"/>
      <c r="B2355" s="14"/>
      <c r="C2355" s="39"/>
      <c r="D2355" s="39"/>
      <c r="E2355" s="36" t="str">
        <f>IF(SUM(C2355:D2355)=0," ",SUM(C2355:D2355))</f>
        <v xml:space="preserve"> </v>
      </c>
      <c r="F2355" s="14"/>
      <c r="G2355" s="120" t="e">
        <f>VLOOKUP($B2355,Information!$C$8:$F$15,4,FALSE)</f>
        <v>#N/A</v>
      </c>
      <c r="H2355" s="210" t="str">
        <f>TEXT(A2355,"ddd")</f>
        <v>Sat</v>
      </c>
    </row>
    <row r="2356" spans="1:8" x14ac:dyDescent="0.25">
      <c r="A2356" s="13"/>
      <c r="B2356" s="14"/>
      <c r="C2356" s="39"/>
      <c r="D2356" s="39"/>
      <c r="E2356" s="36" t="str">
        <f>IF(SUM(C2356:D2356)=0," ",SUM(C2356:D2356))</f>
        <v xml:space="preserve"> </v>
      </c>
      <c r="F2356" s="14"/>
      <c r="G2356" s="120" t="e">
        <f>VLOOKUP($B2356,Information!$C$8:$F$15,4,FALSE)</f>
        <v>#N/A</v>
      </c>
      <c r="H2356" s="210" t="str">
        <f>TEXT(A2356,"ddd")</f>
        <v>Sat</v>
      </c>
    </row>
    <row r="2357" spans="1:8" x14ac:dyDescent="0.25">
      <c r="A2357" s="13"/>
      <c r="B2357" s="14"/>
      <c r="C2357" s="39"/>
      <c r="D2357" s="39"/>
      <c r="E2357" s="36" t="str">
        <f>IF(SUM(C2357:D2357)=0," ",SUM(C2357:D2357))</f>
        <v xml:space="preserve"> </v>
      </c>
      <c r="F2357" s="14"/>
      <c r="G2357" s="120" t="e">
        <f>VLOOKUP($B2357,Information!$C$8:$F$15,4,FALSE)</f>
        <v>#N/A</v>
      </c>
      <c r="H2357" s="210" t="str">
        <f>TEXT(A2357,"ddd")</f>
        <v>Sat</v>
      </c>
    </row>
    <row r="2358" spans="1:8" x14ac:dyDescent="0.25">
      <c r="A2358" s="13"/>
      <c r="B2358" s="14"/>
      <c r="C2358" s="39"/>
      <c r="D2358" s="39"/>
      <c r="E2358" s="36" t="str">
        <f>IF(SUM(C2358:D2358)=0," ",SUM(C2358:D2358))</f>
        <v xml:space="preserve"> </v>
      </c>
      <c r="F2358" s="14"/>
      <c r="G2358" s="120" t="e">
        <f>VLOOKUP($B2358,Information!$C$8:$F$15,4,FALSE)</f>
        <v>#N/A</v>
      </c>
      <c r="H2358" s="210" t="str">
        <f>TEXT(A2358,"ddd")</f>
        <v>Sat</v>
      </c>
    </row>
    <row r="2359" spans="1:8" x14ac:dyDescent="0.25">
      <c r="A2359" s="13"/>
      <c r="B2359" s="14"/>
      <c r="C2359" s="39"/>
      <c r="D2359" s="39"/>
      <c r="E2359" s="36" t="str">
        <f>IF(SUM(C2359:D2359)=0," ",SUM(C2359:D2359))</f>
        <v xml:space="preserve"> </v>
      </c>
      <c r="F2359" s="14"/>
      <c r="G2359" s="120" t="e">
        <f>VLOOKUP($B2359,Information!$C$8:$F$15,4,FALSE)</f>
        <v>#N/A</v>
      </c>
      <c r="H2359" s="210" t="str">
        <f>TEXT(A2359,"ddd")</f>
        <v>Sat</v>
      </c>
    </row>
    <row r="2360" spans="1:8" x14ac:dyDescent="0.25">
      <c r="A2360" s="13"/>
      <c r="B2360" s="14"/>
      <c r="C2360" s="39"/>
      <c r="D2360" s="39"/>
      <c r="E2360" s="36" t="str">
        <f>IF(SUM(C2360:D2360)=0," ",SUM(C2360:D2360))</f>
        <v xml:space="preserve"> </v>
      </c>
      <c r="F2360" s="14"/>
      <c r="G2360" s="120" t="e">
        <f>VLOOKUP($B2360,Information!$C$8:$F$15,4,FALSE)</f>
        <v>#N/A</v>
      </c>
      <c r="H2360" s="210" t="str">
        <f>TEXT(A2360,"ddd")</f>
        <v>Sat</v>
      </c>
    </row>
    <row r="2361" spans="1:8" x14ac:dyDescent="0.25">
      <c r="A2361" s="13"/>
      <c r="B2361" s="14"/>
      <c r="C2361" s="39"/>
      <c r="D2361" s="39"/>
      <c r="E2361" s="36" t="str">
        <f>IF(SUM(C2361:D2361)=0," ",SUM(C2361:D2361))</f>
        <v xml:space="preserve"> </v>
      </c>
      <c r="F2361" s="14"/>
      <c r="G2361" s="120" t="e">
        <f>VLOOKUP($B2361,Information!$C$8:$F$15,4,FALSE)</f>
        <v>#N/A</v>
      </c>
      <c r="H2361" s="210" t="str">
        <f>TEXT(A2361,"ddd")</f>
        <v>Sat</v>
      </c>
    </row>
    <row r="2362" spans="1:8" x14ac:dyDescent="0.25">
      <c r="A2362" s="13"/>
      <c r="B2362" s="14"/>
      <c r="C2362" s="39"/>
      <c r="D2362" s="39"/>
      <c r="E2362" s="36" t="str">
        <f>IF(SUM(C2362:D2362)=0," ",SUM(C2362:D2362))</f>
        <v xml:space="preserve"> </v>
      </c>
      <c r="F2362" s="14"/>
      <c r="G2362" s="120" t="e">
        <f>VLOOKUP($B2362,Information!$C$8:$F$15,4,FALSE)</f>
        <v>#N/A</v>
      </c>
      <c r="H2362" s="210" t="str">
        <f>TEXT(A2362,"ddd")</f>
        <v>Sat</v>
      </c>
    </row>
    <row r="2363" spans="1:8" x14ac:dyDescent="0.25">
      <c r="A2363" s="13"/>
      <c r="B2363" s="14"/>
      <c r="C2363" s="39"/>
      <c r="D2363" s="39"/>
      <c r="E2363" s="36" t="str">
        <f>IF(SUM(C2363:D2363)=0," ",SUM(C2363:D2363))</f>
        <v xml:space="preserve"> </v>
      </c>
      <c r="F2363" s="14"/>
      <c r="G2363" s="120" t="e">
        <f>VLOOKUP($B2363,Information!$C$8:$F$15,4,FALSE)</f>
        <v>#N/A</v>
      </c>
      <c r="H2363" s="210" t="str">
        <f>TEXT(A2363,"ddd")</f>
        <v>Sat</v>
      </c>
    </row>
    <row r="2364" spans="1:8" x14ac:dyDescent="0.25">
      <c r="A2364" s="13"/>
      <c r="B2364" s="14"/>
      <c r="C2364" s="39"/>
      <c r="D2364" s="39"/>
      <c r="E2364" s="36" t="str">
        <f>IF(SUM(C2364:D2364)=0," ",SUM(C2364:D2364))</f>
        <v xml:space="preserve"> </v>
      </c>
      <c r="F2364" s="14"/>
      <c r="G2364" s="120" t="e">
        <f>VLOOKUP($B2364,Information!$C$8:$F$15,4,FALSE)</f>
        <v>#N/A</v>
      </c>
      <c r="H2364" s="210" t="str">
        <f>TEXT(A2364,"ddd")</f>
        <v>Sat</v>
      </c>
    </row>
    <row r="2365" spans="1:8" x14ac:dyDescent="0.25">
      <c r="A2365" s="13"/>
      <c r="B2365" s="14"/>
      <c r="C2365" s="39"/>
      <c r="D2365" s="39"/>
      <c r="E2365" s="36" t="str">
        <f>IF(SUM(C2365:D2365)=0," ",SUM(C2365:D2365))</f>
        <v xml:space="preserve"> </v>
      </c>
      <c r="F2365" s="14"/>
      <c r="G2365" s="120" t="e">
        <f>VLOOKUP($B2365,Information!$C$8:$F$15,4,FALSE)</f>
        <v>#N/A</v>
      </c>
      <c r="H2365" s="210" t="str">
        <f>TEXT(A2365,"ddd")</f>
        <v>Sat</v>
      </c>
    </row>
    <row r="2366" spans="1:8" x14ac:dyDescent="0.25">
      <c r="A2366" s="13"/>
      <c r="B2366" s="14"/>
      <c r="C2366" s="39"/>
      <c r="D2366" s="39"/>
      <c r="E2366" s="36" t="str">
        <f>IF(SUM(C2366:D2366)=0," ",SUM(C2366:D2366))</f>
        <v xml:space="preserve"> </v>
      </c>
      <c r="F2366" s="14"/>
      <c r="G2366" s="120" t="e">
        <f>VLOOKUP($B2366,Information!$C$8:$F$15,4,FALSE)</f>
        <v>#N/A</v>
      </c>
      <c r="H2366" s="210" t="str">
        <f>TEXT(A2366,"ddd")</f>
        <v>Sat</v>
      </c>
    </row>
    <row r="2367" spans="1:8" x14ac:dyDescent="0.25">
      <c r="A2367" s="13"/>
      <c r="B2367" s="14"/>
      <c r="C2367" s="39"/>
      <c r="D2367" s="39"/>
      <c r="E2367" s="36" t="str">
        <f>IF(SUM(C2367:D2367)=0," ",SUM(C2367:D2367))</f>
        <v xml:space="preserve"> </v>
      </c>
      <c r="F2367" s="14"/>
      <c r="G2367" s="120" t="e">
        <f>VLOOKUP($B2367,Information!$C$8:$F$15,4,FALSE)</f>
        <v>#N/A</v>
      </c>
      <c r="H2367" s="210" t="str">
        <f>TEXT(A2367,"ddd")</f>
        <v>Sat</v>
      </c>
    </row>
    <row r="2368" spans="1:8" x14ac:dyDescent="0.25">
      <c r="A2368" s="13"/>
      <c r="B2368" s="14"/>
      <c r="C2368" s="39"/>
      <c r="D2368" s="39"/>
      <c r="E2368" s="36" t="str">
        <f>IF(SUM(C2368:D2368)=0," ",SUM(C2368:D2368))</f>
        <v xml:space="preserve"> </v>
      </c>
      <c r="F2368" s="14"/>
      <c r="G2368" s="120" t="e">
        <f>VLOOKUP($B2368,Information!$C$8:$F$15,4,FALSE)</f>
        <v>#N/A</v>
      </c>
      <c r="H2368" s="210" t="str">
        <f>TEXT(A2368,"ddd")</f>
        <v>Sat</v>
      </c>
    </row>
    <row r="2369" spans="1:8" x14ac:dyDescent="0.25">
      <c r="A2369" s="13"/>
      <c r="B2369" s="14"/>
      <c r="C2369" s="39"/>
      <c r="D2369" s="39"/>
      <c r="E2369" s="36" t="str">
        <f>IF(SUM(C2369:D2369)=0," ",SUM(C2369:D2369))</f>
        <v xml:space="preserve"> </v>
      </c>
      <c r="F2369" s="14"/>
      <c r="G2369" s="120" t="e">
        <f>VLOOKUP($B2369,Information!$C$8:$F$15,4,FALSE)</f>
        <v>#N/A</v>
      </c>
      <c r="H2369" s="210" t="str">
        <f>TEXT(A2369,"ddd")</f>
        <v>Sat</v>
      </c>
    </row>
    <row r="2370" spans="1:8" x14ac:dyDescent="0.25">
      <c r="A2370" s="13"/>
      <c r="B2370" s="14"/>
      <c r="C2370" s="39"/>
      <c r="D2370" s="39"/>
      <c r="E2370" s="36" t="str">
        <f>IF(SUM(C2370:D2370)=0," ",SUM(C2370:D2370))</f>
        <v xml:space="preserve"> </v>
      </c>
      <c r="F2370" s="14"/>
      <c r="G2370" s="120" t="e">
        <f>VLOOKUP($B2370,Information!$C$8:$F$15,4,FALSE)</f>
        <v>#N/A</v>
      </c>
      <c r="H2370" s="210" t="str">
        <f>TEXT(A2370,"ddd")</f>
        <v>Sat</v>
      </c>
    </row>
    <row r="2371" spans="1:8" x14ac:dyDescent="0.25">
      <c r="A2371" s="13"/>
      <c r="B2371" s="14"/>
      <c r="C2371" s="39"/>
      <c r="D2371" s="39"/>
      <c r="E2371" s="36" t="str">
        <f>IF(SUM(C2371:D2371)=0," ",SUM(C2371:D2371))</f>
        <v xml:space="preserve"> </v>
      </c>
      <c r="F2371" s="14"/>
      <c r="G2371" s="120" t="e">
        <f>VLOOKUP($B2371,Information!$C$8:$F$15,4,FALSE)</f>
        <v>#N/A</v>
      </c>
      <c r="H2371" s="210" t="str">
        <f>TEXT(A2371,"ddd")</f>
        <v>Sat</v>
      </c>
    </row>
    <row r="2372" spans="1:8" x14ac:dyDescent="0.25">
      <c r="A2372" s="13"/>
      <c r="B2372" s="14"/>
      <c r="C2372" s="39"/>
      <c r="D2372" s="39"/>
      <c r="E2372" s="36" t="str">
        <f>IF(SUM(C2372:D2372)=0," ",SUM(C2372:D2372))</f>
        <v xml:space="preserve"> </v>
      </c>
      <c r="F2372" s="14"/>
      <c r="G2372" s="120" t="e">
        <f>VLOOKUP($B2372,Information!$C$8:$F$15,4,FALSE)</f>
        <v>#N/A</v>
      </c>
      <c r="H2372" s="210" t="str">
        <f>TEXT(A2372,"ddd")</f>
        <v>Sat</v>
      </c>
    </row>
    <row r="2373" spans="1:8" x14ac:dyDescent="0.25">
      <c r="A2373" s="13"/>
      <c r="B2373" s="14"/>
      <c r="C2373" s="39"/>
      <c r="D2373" s="39"/>
      <c r="E2373" s="36" t="str">
        <f>IF(SUM(C2373:D2373)=0," ",SUM(C2373:D2373))</f>
        <v xml:space="preserve"> </v>
      </c>
      <c r="F2373" s="14"/>
      <c r="G2373" s="120" t="e">
        <f>VLOOKUP($B2373,Information!$C$8:$F$15,4,FALSE)</f>
        <v>#N/A</v>
      </c>
      <c r="H2373" s="210" t="str">
        <f>TEXT(A2373,"ddd")</f>
        <v>Sat</v>
      </c>
    </row>
    <row r="2374" spans="1:8" x14ac:dyDescent="0.25">
      <c r="A2374" s="13"/>
      <c r="B2374" s="14"/>
      <c r="C2374" s="39"/>
      <c r="D2374" s="39"/>
      <c r="E2374" s="36" t="str">
        <f>IF(SUM(C2374:D2374)=0," ",SUM(C2374:D2374))</f>
        <v xml:space="preserve"> </v>
      </c>
      <c r="F2374" s="14"/>
      <c r="G2374" s="120" t="e">
        <f>VLOOKUP($B2374,Information!$C$8:$F$15,4,FALSE)</f>
        <v>#N/A</v>
      </c>
      <c r="H2374" s="210" t="str">
        <f>TEXT(A2374,"ddd")</f>
        <v>Sat</v>
      </c>
    </row>
    <row r="2375" spans="1:8" x14ac:dyDescent="0.25">
      <c r="A2375" s="13"/>
      <c r="B2375" s="14"/>
      <c r="C2375" s="39"/>
      <c r="D2375" s="39"/>
      <c r="E2375" s="36" t="str">
        <f>IF(SUM(C2375:D2375)=0," ",SUM(C2375:D2375))</f>
        <v xml:space="preserve"> </v>
      </c>
      <c r="F2375" s="14"/>
      <c r="G2375" s="120" t="e">
        <f>VLOOKUP($B2375,Information!$C$8:$F$15,4,FALSE)</f>
        <v>#N/A</v>
      </c>
      <c r="H2375" s="210" t="str">
        <f>TEXT(A2375,"ddd")</f>
        <v>Sat</v>
      </c>
    </row>
    <row r="2376" spans="1:8" x14ac:dyDescent="0.25">
      <c r="A2376" s="13"/>
      <c r="B2376" s="14"/>
      <c r="C2376" s="39"/>
      <c r="D2376" s="39"/>
      <c r="E2376" s="36" t="str">
        <f>IF(SUM(C2376:D2376)=0," ",SUM(C2376:D2376))</f>
        <v xml:space="preserve"> </v>
      </c>
      <c r="F2376" s="14"/>
      <c r="G2376" s="120" t="e">
        <f>VLOOKUP($B2376,Information!$C$8:$F$15,4,FALSE)</f>
        <v>#N/A</v>
      </c>
      <c r="H2376" s="210" t="str">
        <f>TEXT(A2376,"ddd")</f>
        <v>Sat</v>
      </c>
    </row>
    <row r="2377" spans="1:8" x14ac:dyDescent="0.25">
      <c r="A2377" s="13"/>
      <c r="B2377" s="14"/>
      <c r="C2377" s="39"/>
      <c r="D2377" s="39"/>
      <c r="E2377" s="36" t="str">
        <f>IF(SUM(C2377:D2377)=0," ",SUM(C2377:D2377))</f>
        <v xml:space="preserve"> </v>
      </c>
      <c r="F2377" s="14"/>
      <c r="G2377" s="120" t="e">
        <f>VLOOKUP($B2377,Information!$C$8:$F$15,4,FALSE)</f>
        <v>#N/A</v>
      </c>
      <c r="H2377" s="210" t="str">
        <f>TEXT(A2377,"ddd")</f>
        <v>Sat</v>
      </c>
    </row>
    <row r="2378" spans="1:8" x14ac:dyDescent="0.25">
      <c r="A2378" s="13"/>
      <c r="B2378" s="14"/>
      <c r="C2378" s="39"/>
      <c r="D2378" s="39"/>
      <c r="E2378" s="36" t="str">
        <f>IF(SUM(C2378:D2378)=0," ",SUM(C2378:D2378))</f>
        <v xml:space="preserve"> </v>
      </c>
      <c r="F2378" s="14"/>
      <c r="G2378" s="120" t="e">
        <f>VLOOKUP($B2378,Information!$C$8:$F$15,4,FALSE)</f>
        <v>#N/A</v>
      </c>
      <c r="H2378" s="210" t="str">
        <f>TEXT(A2378,"ddd")</f>
        <v>Sat</v>
      </c>
    </row>
    <row r="2379" spans="1:8" x14ac:dyDescent="0.25">
      <c r="A2379" s="13"/>
      <c r="B2379" s="14"/>
      <c r="C2379" s="39"/>
      <c r="D2379" s="39"/>
      <c r="E2379" s="36" t="str">
        <f>IF(SUM(C2379:D2379)=0," ",SUM(C2379:D2379))</f>
        <v xml:space="preserve"> </v>
      </c>
      <c r="F2379" s="14"/>
      <c r="G2379" s="120" t="e">
        <f>VLOOKUP($B2379,Information!$C$8:$F$15,4,FALSE)</f>
        <v>#N/A</v>
      </c>
      <c r="H2379" s="210" t="str">
        <f>TEXT(A2379,"ddd")</f>
        <v>Sat</v>
      </c>
    </row>
    <row r="2380" spans="1:8" x14ac:dyDescent="0.25">
      <c r="A2380" s="13"/>
      <c r="B2380" s="14"/>
      <c r="C2380" s="39"/>
      <c r="D2380" s="39"/>
      <c r="E2380" s="36" t="str">
        <f>IF(SUM(C2380:D2380)=0," ",SUM(C2380:D2380))</f>
        <v xml:space="preserve"> </v>
      </c>
      <c r="F2380" s="14"/>
      <c r="G2380" s="120" t="e">
        <f>VLOOKUP($B2380,Information!$C$8:$F$15,4,FALSE)</f>
        <v>#N/A</v>
      </c>
      <c r="H2380" s="210" t="str">
        <f>TEXT(A2380,"ddd")</f>
        <v>Sat</v>
      </c>
    </row>
    <row r="2381" spans="1:8" x14ac:dyDescent="0.25">
      <c r="A2381" s="13"/>
      <c r="B2381" s="14"/>
      <c r="C2381" s="39"/>
      <c r="D2381" s="39"/>
      <c r="E2381" s="36" t="str">
        <f>IF(SUM(C2381:D2381)=0," ",SUM(C2381:D2381))</f>
        <v xml:space="preserve"> </v>
      </c>
      <c r="F2381" s="14"/>
      <c r="G2381" s="120" t="e">
        <f>VLOOKUP($B2381,Information!$C$8:$F$15,4,FALSE)</f>
        <v>#N/A</v>
      </c>
      <c r="H2381" s="210" t="str">
        <f>TEXT(A2381,"ddd")</f>
        <v>Sat</v>
      </c>
    </row>
    <row r="2382" spans="1:8" x14ac:dyDescent="0.25">
      <c r="A2382" s="13"/>
      <c r="B2382" s="14"/>
      <c r="C2382" s="39"/>
      <c r="D2382" s="39"/>
      <c r="E2382" s="36" t="str">
        <f>IF(SUM(C2382:D2382)=0," ",SUM(C2382:D2382))</f>
        <v xml:space="preserve"> </v>
      </c>
      <c r="F2382" s="14"/>
      <c r="G2382" s="120" t="e">
        <f>VLOOKUP($B2382,Information!$C$8:$F$15,4,FALSE)</f>
        <v>#N/A</v>
      </c>
      <c r="H2382" s="210" t="str">
        <f>TEXT(A2382,"ddd")</f>
        <v>Sat</v>
      </c>
    </row>
    <row r="2383" spans="1:8" x14ac:dyDescent="0.25">
      <c r="A2383" s="13"/>
      <c r="B2383" s="14"/>
      <c r="C2383" s="39"/>
      <c r="D2383" s="39"/>
      <c r="E2383" s="36" t="str">
        <f>IF(SUM(C2383:D2383)=0," ",SUM(C2383:D2383))</f>
        <v xml:space="preserve"> </v>
      </c>
      <c r="F2383" s="14"/>
      <c r="G2383" s="120" t="e">
        <f>VLOOKUP($B2383,Information!$C$8:$F$15,4,FALSE)</f>
        <v>#N/A</v>
      </c>
      <c r="H2383" s="210" t="str">
        <f>TEXT(A2383,"ddd")</f>
        <v>Sat</v>
      </c>
    </row>
    <row r="2384" spans="1:8" x14ac:dyDescent="0.25">
      <c r="A2384" s="13"/>
      <c r="B2384" s="14"/>
      <c r="C2384" s="39"/>
      <c r="D2384" s="39"/>
      <c r="E2384" s="36" t="str">
        <f>IF(SUM(C2384:D2384)=0," ",SUM(C2384:D2384))</f>
        <v xml:space="preserve"> </v>
      </c>
      <c r="F2384" s="14"/>
      <c r="G2384" s="120" t="e">
        <f>VLOOKUP($B2384,Information!$C$8:$F$15,4,FALSE)</f>
        <v>#N/A</v>
      </c>
      <c r="H2384" s="210" t="str">
        <f>TEXT(A2384,"ddd")</f>
        <v>Sat</v>
      </c>
    </row>
    <row r="2385" spans="1:8" x14ac:dyDescent="0.25">
      <c r="A2385" s="13"/>
      <c r="B2385" s="14"/>
      <c r="C2385" s="39"/>
      <c r="D2385" s="39"/>
      <c r="E2385" s="36" t="str">
        <f>IF(SUM(C2385:D2385)=0," ",SUM(C2385:D2385))</f>
        <v xml:space="preserve"> </v>
      </c>
      <c r="F2385" s="14"/>
      <c r="G2385" s="120" t="e">
        <f>VLOOKUP($B2385,Information!$C$8:$F$15,4,FALSE)</f>
        <v>#N/A</v>
      </c>
      <c r="H2385" s="210" t="str">
        <f>TEXT(A2385,"ddd")</f>
        <v>Sat</v>
      </c>
    </row>
    <row r="2386" spans="1:8" x14ac:dyDescent="0.25">
      <c r="A2386" s="13"/>
      <c r="B2386" s="14"/>
      <c r="C2386" s="39"/>
      <c r="D2386" s="39"/>
      <c r="E2386" s="36" t="str">
        <f>IF(SUM(C2386:D2386)=0," ",SUM(C2386:D2386))</f>
        <v xml:space="preserve"> </v>
      </c>
      <c r="F2386" s="14"/>
      <c r="G2386" s="120" t="e">
        <f>VLOOKUP($B2386,Information!$C$8:$F$15,4,FALSE)</f>
        <v>#N/A</v>
      </c>
      <c r="H2386" s="210" t="str">
        <f>TEXT(A2386,"ddd")</f>
        <v>Sat</v>
      </c>
    </row>
    <row r="2387" spans="1:8" x14ac:dyDescent="0.25">
      <c r="A2387" s="13"/>
      <c r="B2387" s="14"/>
      <c r="C2387" s="39"/>
      <c r="D2387" s="39"/>
      <c r="E2387" s="36" t="str">
        <f>IF(SUM(C2387:D2387)=0," ",SUM(C2387:D2387))</f>
        <v xml:space="preserve"> </v>
      </c>
      <c r="F2387" s="14"/>
      <c r="G2387" s="120" t="e">
        <f>VLOOKUP($B2387,Information!$C$8:$F$15,4,FALSE)</f>
        <v>#N/A</v>
      </c>
      <c r="H2387" s="210" t="str">
        <f>TEXT(A2387,"ddd")</f>
        <v>Sat</v>
      </c>
    </row>
    <row r="2388" spans="1:8" x14ac:dyDescent="0.25">
      <c r="A2388" s="13"/>
      <c r="B2388" s="14"/>
      <c r="C2388" s="39"/>
      <c r="D2388" s="39"/>
      <c r="E2388" s="36" t="str">
        <f>IF(SUM(C2388:D2388)=0," ",SUM(C2388:D2388))</f>
        <v xml:space="preserve"> </v>
      </c>
      <c r="F2388" s="14"/>
      <c r="G2388" s="120" t="e">
        <f>VLOOKUP($B2388,Information!$C$8:$F$15,4,FALSE)</f>
        <v>#N/A</v>
      </c>
      <c r="H2388" s="210" t="str">
        <f>TEXT(A2388,"ddd")</f>
        <v>Sat</v>
      </c>
    </row>
    <row r="2389" spans="1:8" x14ac:dyDescent="0.25">
      <c r="A2389" s="13"/>
      <c r="B2389" s="14"/>
      <c r="C2389" s="39"/>
      <c r="D2389" s="39"/>
      <c r="E2389" s="36" t="str">
        <f>IF(SUM(C2389:D2389)=0," ",SUM(C2389:D2389))</f>
        <v xml:space="preserve"> </v>
      </c>
      <c r="F2389" s="14"/>
      <c r="G2389" s="120" t="e">
        <f>VLOOKUP($B2389,Information!$C$8:$F$15,4,FALSE)</f>
        <v>#N/A</v>
      </c>
      <c r="H2389" s="210" t="str">
        <f>TEXT(A2389,"ddd")</f>
        <v>Sat</v>
      </c>
    </row>
    <row r="2390" spans="1:8" x14ac:dyDescent="0.25">
      <c r="A2390" s="13"/>
      <c r="B2390" s="14"/>
      <c r="C2390" s="39"/>
      <c r="D2390" s="39"/>
      <c r="E2390" s="36" t="str">
        <f>IF(SUM(C2390:D2390)=0," ",SUM(C2390:D2390))</f>
        <v xml:space="preserve"> </v>
      </c>
      <c r="F2390" s="14"/>
      <c r="G2390" s="120" t="e">
        <f>VLOOKUP($B2390,Information!$C$8:$F$15,4,FALSE)</f>
        <v>#N/A</v>
      </c>
      <c r="H2390" s="210" t="str">
        <f>TEXT(A2390,"ddd")</f>
        <v>Sat</v>
      </c>
    </row>
    <row r="2391" spans="1:8" x14ac:dyDescent="0.25">
      <c r="A2391" s="13"/>
      <c r="B2391" s="14"/>
      <c r="C2391" s="39"/>
      <c r="D2391" s="39"/>
      <c r="E2391" s="36" t="str">
        <f>IF(SUM(C2391:D2391)=0," ",SUM(C2391:D2391))</f>
        <v xml:space="preserve"> </v>
      </c>
      <c r="F2391" s="14"/>
      <c r="G2391" s="120" t="e">
        <f>VLOOKUP($B2391,Information!$C$8:$F$15,4,FALSE)</f>
        <v>#N/A</v>
      </c>
      <c r="H2391" s="210" t="str">
        <f>TEXT(A2391,"ddd")</f>
        <v>Sat</v>
      </c>
    </row>
    <row r="2392" spans="1:8" x14ac:dyDescent="0.25">
      <c r="A2392" s="13"/>
      <c r="B2392" s="14"/>
      <c r="C2392" s="39"/>
      <c r="D2392" s="39"/>
      <c r="E2392" s="36" t="str">
        <f>IF(SUM(C2392:D2392)=0," ",SUM(C2392:D2392))</f>
        <v xml:space="preserve"> </v>
      </c>
      <c r="F2392" s="14"/>
      <c r="G2392" s="120" t="e">
        <f>VLOOKUP($B2392,Information!$C$8:$F$15,4,FALSE)</f>
        <v>#N/A</v>
      </c>
      <c r="H2392" s="210" t="str">
        <f>TEXT(A2392,"ddd")</f>
        <v>Sat</v>
      </c>
    </row>
    <row r="2393" spans="1:8" x14ac:dyDescent="0.25">
      <c r="A2393" s="13"/>
      <c r="B2393" s="14"/>
      <c r="C2393" s="39"/>
      <c r="D2393" s="39"/>
      <c r="E2393" s="36" t="str">
        <f>IF(SUM(C2393:D2393)=0," ",SUM(C2393:D2393))</f>
        <v xml:space="preserve"> </v>
      </c>
      <c r="F2393" s="14"/>
      <c r="G2393" s="120" t="e">
        <f>VLOOKUP($B2393,Information!$C$8:$F$15,4,FALSE)</f>
        <v>#N/A</v>
      </c>
      <c r="H2393" s="210" t="str">
        <f>TEXT(A2393,"ddd")</f>
        <v>Sat</v>
      </c>
    </row>
    <row r="2394" spans="1:8" x14ac:dyDescent="0.25">
      <c r="A2394" s="13"/>
      <c r="B2394" s="14"/>
      <c r="C2394" s="39"/>
      <c r="D2394" s="39"/>
      <c r="E2394" s="36" t="str">
        <f>IF(SUM(C2394:D2394)=0," ",SUM(C2394:D2394))</f>
        <v xml:space="preserve"> </v>
      </c>
      <c r="F2394" s="14"/>
      <c r="G2394" s="120" t="e">
        <f>VLOOKUP($B2394,Information!$C$8:$F$15,4,FALSE)</f>
        <v>#N/A</v>
      </c>
      <c r="H2394" s="210" t="str">
        <f>TEXT(A2394,"ddd")</f>
        <v>Sat</v>
      </c>
    </row>
    <row r="2395" spans="1:8" x14ac:dyDescent="0.25">
      <c r="A2395" s="13"/>
      <c r="B2395" s="14"/>
      <c r="C2395" s="39"/>
      <c r="D2395" s="39"/>
      <c r="E2395" s="36" t="str">
        <f>IF(SUM(C2395:D2395)=0," ",SUM(C2395:D2395))</f>
        <v xml:space="preserve"> </v>
      </c>
      <c r="F2395" s="14"/>
      <c r="G2395" s="120" t="e">
        <f>VLOOKUP($B2395,Information!$C$8:$F$15,4,FALSE)</f>
        <v>#N/A</v>
      </c>
      <c r="H2395" s="210" t="str">
        <f>TEXT(A2395,"ddd")</f>
        <v>Sat</v>
      </c>
    </row>
    <row r="2396" spans="1:8" x14ac:dyDescent="0.25">
      <c r="A2396" s="13"/>
      <c r="B2396" s="14"/>
      <c r="C2396" s="39"/>
      <c r="D2396" s="39"/>
      <c r="E2396" s="36" t="str">
        <f>IF(SUM(C2396:D2396)=0," ",SUM(C2396:D2396))</f>
        <v xml:space="preserve"> </v>
      </c>
      <c r="F2396" s="14"/>
      <c r="G2396" s="120" t="e">
        <f>VLOOKUP($B2396,Information!$C$8:$F$15,4,FALSE)</f>
        <v>#N/A</v>
      </c>
      <c r="H2396" s="210" t="str">
        <f>TEXT(A2396,"ddd")</f>
        <v>Sat</v>
      </c>
    </row>
    <row r="2397" spans="1:8" x14ac:dyDescent="0.25">
      <c r="A2397" s="13"/>
      <c r="B2397" s="14"/>
      <c r="C2397" s="39"/>
      <c r="D2397" s="39"/>
      <c r="E2397" s="36" t="str">
        <f>IF(SUM(C2397:D2397)=0," ",SUM(C2397:D2397))</f>
        <v xml:space="preserve"> </v>
      </c>
      <c r="F2397" s="14"/>
      <c r="G2397" s="120" t="e">
        <f>VLOOKUP($B2397,Information!$C$8:$F$15,4,FALSE)</f>
        <v>#N/A</v>
      </c>
      <c r="H2397" s="210" t="str">
        <f>TEXT(A2397,"ddd")</f>
        <v>Sat</v>
      </c>
    </row>
    <row r="2398" spans="1:8" x14ac:dyDescent="0.25">
      <c r="A2398" s="13"/>
      <c r="B2398" s="14"/>
      <c r="C2398" s="39"/>
      <c r="D2398" s="39"/>
      <c r="E2398" s="36" t="str">
        <f>IF(SUM(C2398:D2398)=0," ",SUM(C2398:D2398))</f>
        <v xml:space="preserve"> </v>
      </c>
      <c r="F2398" s="14"/>
      <c r="G2398" s="120" t="e">
        <f>VLOOKUP($B2398,Information!$C$8:$F$15,4,FALSE)</f>
        <v>#N/A</v>
      </c>
      <c r="H2398" s="210" t="str">
        <f>TEXT(A2398,"ddd")</f>
        <v>Sat</v>
      </c>
    </row>
    <row r="2399" spans="1:8" x14ac:dyDescent="0.25">
      <c r="A2399" s="13"/>
      <c r="B2399" s="14"/>
      <c r="C2399" s="39"/>
      <c r="D2399" s="39"/>
      <c r="E2399" s="36" t="str">
        <f>IF(SUM(C2399:D2399)=0," ",SUM(C2399:D2399))</f>
        <v xml:space="preserve"> </v>
      </c>
      <c r="F2399" s="14"/>
      <c r="G2399" s="120" t="e">
        <f>VLOOKUP($B2399,Information!$C$8:$F$15,4,FALSE)</f>
        <v>#N/A</v>
      </c>
      <c r="H2399" s="210" t="str">
        <f>TEXT(A2399,"ddd")</f>
        <v>Sat</v>
      </c>
    </row>
    <row r="2400" spans="1:8" x14ac:dyDescent="0.25">
      <c r="A2400" s="13"/>
      <c r="B2400" s="14"/>
      <c r="C2400" s="39"/>
      <c r="D2400" s="39"/>
      <c r="E2400" s="36" t="str">
        <f>IF(SUM(C2400:D2400)=0," ",SUM(C2400:D2400))</f>
        <v xml:space="preserve"> </v>
      </c>
      <c r="F2400" s="14"/>
      <c r="G2400" s="120" t="e">
        <f>VLOOKUP($B2400,Information!$C$8:$F$15,4,FALSE)</f>
        <v>#N/A</v>
      </c>
      <c r="H2400" s="210" t="str">
        <f>TEXT(A2400,"ddd")</f>
        <v>Sat</v>
      </c>
    </row>
    <row r="2401" spans="1:8" x14ac:dyDescent="0.25">
      <c r="A2401" s="13"/>
      <c r="B2401" s="14"/>
      <c r="C2401" s="39"/>
      <c r="D2401" s="39"/>
      <c r="E2401" s="36" t="str">
        <f>IF(SUM(C2401:D2401)=0," ",SUM(C2401:D2401))</f>
        <v xml:space="preserve"> </v>
      </c>
      <c r="F2401" s="14"/>
      <c r="G2401" s="120" t="e">
        <f>VLOOKUP($B2401,Information!$C$8:$F$15,4,FALSE)</f>
        <v>#N/A</v>
      </c>
      <c r="H2401" s="210" t="str">
        <f>TEXT(A2401,"ddd")</f>
        <v>Sat</v>
      </c>
    </row>
    <row r="2402" spans="1:8" x14ac:dyDescent="0.25">
      <c r="A2402" s="13"/>
      <c r="B2402" s="14"/>
      <c r="C2402" s="39"/>
      <c r="D2402" s="39"/>
      <c r="E2402" s="36" t="str">
        <f>IF(SUM(C2402:D2402)=0," ",SUM(C2402:D2402))</f>
        <v xml:space="preserve"> </v>
      </c>
      <c r="F2402" s="14"/>
      <c r="G2402" s="120" t="e">
        <f>VLOOKUP($B2402,Information!$C$8:$F$15,4,FALSE)</f>
        <v>#N/A</v>
      </c>
      <c r="H2402" s="210" t="str">
        <f>TEXT(A2402,"ddd")</f>
        <v>Sat</v>
      </c>
    </row>
    <row r="2403" spans="1:8" x14ac:dyDescent="0.25">
      <c r="A2403" s="13"/>
      <c r="B2403" s="14"/>
      <c r="C2403" s="39"/>
      <c r="D2403" s="39"/>
      <c r="E2403" s="36" t="str">
        <f>IF(SUM(C2403:D2403)=0," ",SUM(C2403:D2403))</f>
        <v xml:space="preserve"> </v>
      </c>
      <c r="F2403" s="14"/>
      <c r="G2403" s="120" t="e">
        <f>VLOOKUP($B2403,Information!$C$8:$F$15,4,FALSE)</f>
        <v>#N/A</v>
      </c>
      <c r="H2403" s="210" t="str">
        <f>TEXT(A2403,"ddd")</f>
        <v>Sat</v>
      </c>
    </row>
    <row r="2404" spans="1:8" x14ac:dyDescent="0.25">
      <c r="A2404" s="13"/>
      <c r="B2404" s="14"/>
      <c r="C2404" s="39"/>
      <c r="D2404" s="39"/>
      <c r="E2404" s="36" t="str">
        <f>IF(SUM(C2404:D2404)=0," ",SUM(C2404:D2404))</f>
        <v xml:space="preserve"> </v>
      </c>
      <c r="F2404" s="14"/>
      <c r="G2404" s="120" t="e">
        <f>VLOOKUP($B2404,Information!$C$8:$F$15,4,FALSE)</f>
        <v>#N/A</v>
      </c>
      <c r="H2404" s="210" t="str">
        <f>TEXT(A2404,"ddd")</f>
        <v>Sat</v>
      </c>
    </row>
    <row r="2405" spans="1:8" x14ac:dyDescent="0.25">
      <c r="A2405" s="13"/>
      <c r="B2405" s="14"/>
      <c r="C2405" s="39"/>
      <c r="D2405" s="39"/>
      <c r="E2405" s="36" t="str">
        <f>IF(SUM(C2405:D2405)=0," ",SUM(C2405:D2405))</f>
        <v xml:space="preserve"> </v>
      </c>
      <c r="F2405" s="14"/>
      <c r="G2405" s="120" t="e">
        <f>VLOOKUP($B2405,Information!$C$8:$F$15,4,FALSE)</f>
        <v>#N/A</v>
      </c>
      <c r="H2405" s="210" t="str">
        <f>TEXT(A2405,"ddd")</f>
        <v>Sat</v>
      </c>
    </row>
    <row r="2406" spans="1:8" x14ac:dyDescent="0.25">
      <c r="A2406" s="13"/>
      <c r="B2406" s="14"/>
      <c r="C2406" s="39"/>
      <c r="D2406" s="39"/>
      <c r="E2406" s="36" t="str">
        <f>IF(SUM(C2406:D2406)=0," ",SUM(C2406:D2406))</f>
        <v xml:space="preserve"> </v>
      </c>
      <c r="F2406" s="14"/>
      <c r="G2406" s="120" t="e">
        <f>VLOOKUP($B2406,Information!$C$8:$F$15,4,FALSE)</f>
        <v>#N/A</v>
      </c>
      <c r="H2406" s="210" t="str">
        <f>TEXT(A2406,"ddd")</f>
        <v>Sat</v>
      </c>
    </row>
    <row r="2407" spans="1:8" x14ac:dyDescent="0.25">
      <c r="A2407" s="13"/>
      <c r="B2407" s="14"/>
      <c r="C2407" s="39"/>
      <c r="D2407" s="39"/>
      <c r="E2407" s="36" t="str">
        <f>IF(SUM(C2407:D2407)=0," ",SUM(C2407:D2407))</f>
        <v xml:space="preserve"> </v>
      </c>
      <c r="F2407" s="14"/>
      <c r="G2407" s="120" t="e">
        <f>VLOOKUP($B2407,Information!$C$8:$F$15,4,FALSE)</f>
        <v>#N/A</v>
      </c>
      <c r="H2407" s="210" t="str">
        <f>TEXT(A2407,"ddd")</f>
        <v>Sat</v>
      </c>
    </row>
    <row r="2408" spans="1:8" x14ac:dyDescent="0.25">
      <c r="A2408" s="13"/>
      <c r="B2408" s="14"/>
      <c r="C2408" s="39"/>
      <c r="D2408" s="39"/>
      <c r="E2408" s="36" t="str">
        <f>IF(SUM(C2408:D2408)=0," ",SUM(C2408:D2408))</f>
        <v xml:space="preserve"> </v>
      </c>
      <c r="F2408" s="14"/>
      <c r="G2408" s="120" t="e">
        <f>VLOOKUP($B2408,Information!$C$8:$F$15,4,FALSE)</f>
        <v>#N/A</v>
      </c>
      <c r="H2408" s="210" t="str">
        <f>TEXT(A2408,"ddd")</f>
        <v>Sat</v>
      </c>
    </row>
    <row r="2409" spans="1:8" x14ac:dyDescent="0.25">
      <c r="A2409" s="13"/>
      <c r="B2409" s="14"/>
      <c r="C2409" s="39"/>
      <c r="D2409" s="39"/>
      <c r="E2409" s="36" t="str">
        <f>IF(SUM(C2409:D2409)=0," ",SUM(C2409:D2409))</f>
        <v xml:space="preserve"> </v>
      </c>
      <c r="F2409" s="14"/>
      <c r="G2409" s="120" t="e">
        <f>VLOOKUP($B2409,Information!$C$8:$F$15,4,FALSE)</f>
        <v>#N/A</v>
      </c>
      <c r="H2409" s="210" t="str">
        <f>TEXT(A2409,"ddd")</f>
        <v>Sat</v>
      </c>
    </row>
    <row r="2410" spans="1:8" x14ac:dyDescent="0.25">
      <c r="A2410" s="13"/>
      <c r="B2410" s="14"/>
      <c r="C2410" s="39"/>
      <c r="D2410" s="39"/>
      <c r="E2410" s="36" t="str">
        <f>IF(SUM(C2410:D2410)=0," ",SUM(C2410:D2410))</f>
        <v xml:space="preserve"> </v>
      </c>
      <c r="F2410" s="14"/>
      <c r="G2410" s="120" t="e">
        <f>VLOOKUP($B2410,Information!$C$8:$F$15,4,FALSE)</f>
        <v>#N/A</v>
      </c>
      <c r="H2410" s="210" t="str">
        <f>TEXT(A2410,"ddd")</f>
        <v>Sat</v>
      </c>
    </row>
    <row r="2411" spans="1:8" x14ac:dyDescent="0.25">
      <c r="A2411" s="13"/>
      <c r="B2411" s="14"/>
      <c r="C2411" s="39"/>
      <c r="D2411" s="39"/>
      <c r="E2411" s="36" t="str">
        <f>IF(SUM(C2411:D2411)=0," ",SUM(C2411:D2411))</f>
        <v xml:space="preserve"> </v>
      </c>
      <c r="F2411" s="14"/>
      <c r="G2411" s="120" t="e">
        <f>VLOOKUP($B2411,Information!$C$8:$F$15,4,FALSE)</f>
        <v>#N/A</v>
      </c>
      <c r="H2411" s="210" t="str">
        <f>TEXT(A2411,"ddd")</f>
        <v>Sat</v>
      </c>
    </row>
    <row r="2412" spans="1:8" x14ac:dyDescent="0.25">
      <c r="A2412" s="13"/>
      <c r="B2412" s="14"/>
      <c r="C2412" s="39"/>
      <c r="D2412" s="39"/>
      <c r="E2412" s="36" t="str">
        <f>IF(SUM(C2412:D2412)=0," ",SUM(C2412:D2412))</f>
        <v xml:space="preserve"> </v>
      </c>
      <c r="F2412" s="14"/>
      <c r="G2412" s="120" t="e">
        <f>VLOOKUP($B2412,Information!$C$8:$F$15,4,FALSE)</f>
        <v>#N/A</v>
      </c>
      <c r="H2412" s="210" t="str">
        <f>TEXT(A2412,"ddd")</f>
        <v>Sat</v>
      </c>
    </row>
    <row r="2413" spans="1:8" x14ac:dyDescent="0.25">
      <c r="A2413" s="13"/>
      <c r="B2413" s="14"/>
      <c r="C2413" s="39"/>
      <c r="D2413" s="39"/>
      <c r="E2413" s="36" t="str">
        <f>IF(SUM(C2413:D2413)=0," ",SUM(C2413:D2413))</f>
        <v xml:space="preserve"> </v>
      </c>
      <c r="F2413" s="14"/>
      <c r="G2413" s="120" t="e">
        <f>VLOOKUP($B2413,Information!$C$8:$F$15,4,FALSE)</f>
        <v>#N/A</v>
      </c>
      <c r="H2413" s="210" t="str">
        <f>TEXT(A2413,"ddd")</f>
        <v>Sat</v>
      </c>
    </row>
    <row r="2414" spans="1:8" x14ac:dyDescent="0.25">
      <c r="A2414" s="13"/>
      <c r="B2414" s="14"/>
      <c r="C2414" s="39"/>
      <c r="D2414" s="39"/>
      <c r="E2414" s="36" t="str">
        <f>IF(SUM(C2414:D2414)=0," ",SUM(C2414:D2414))</f>
        <v xml:space="preserve"> </v>
      </c>
      <c r="F2414" s="14"/>
      <c r="G2414" s="120" t="e">
        <f>VLOOKUP($B2414,Information!$C$8:$F$15,4,FALSE)</f>
        <v>#N/A</v>
      </c>
      <c r="H2414" s="210" t="str">
        <f>TEXT(A2414,"ddd")</f>
        <v>Sat</v>
      </c>
    </row>
    <row r="2415" spans="1:8" x14ac:dyDescent="0.25">
      <c r="A2415" s="13"/>
      <c r="B2415" s="14"/>
      <c r="C2415" s="39"/>
      <c r="D2415" s="39"/>
      <c r="E2415" s="36" t="str">
        <f>IF(SUM(C2415:D2415)=0," ",SUM(C2415:D2415))</f>
        <v xml:space="preserve"> </v>
      </c>
      <c r="F2415" s="14"/>
      <c r="G2415" s="120" t="e">
        <f>VLOOKUP($B2415,Information!$C$8:$F$15,4,FALSE)</f>
        <v>#N/A</v>
      </c>
      <c r="H2415" s="210" t="str">
        <f>TEXT(A2415,"ddd")</f>
        <v>Sat</v>
      </c>
    </row>
    <row r="2416" spans="1:8" x14ac:dyDescent="0.25">
      <c r="A2416" s="13"/>
      <c r="B2416" s="14"/>
      <c r="C2416" s="39"/>
      <c r="D2416" s="39"/>
      <c r="E2416" s="36" t="str">
        <f>IF(SUM(C2416:D2416)=0," ",SUM(C2416:D2416))</f>
        <v xml:space="preserve"> </v>
      </c>
      <c r="F2416" s="14"/>
      <c r="G2416" s="120" t="e">
        <f>VLOOKUP($B2416,Information!$C$8:$F$15,4,FALSE)</f>
        <v>#N/A</v>
      </c>
      <c r="H2416" s="210" t="str">
        <f>TEXT(A2416,"ddd")</f>
        <v>Sat</v>
      </c>
    </row>
    <row r="2417" spans="1:8" x14ac:dyDescent="0.25">
      <c r="A2417" s="13"/>
      <c r="B2417" s="14"/>
      <c r="C2417" s="39"/>
      <c r="D2417" s="39"/>
      <c r="E2417" s="36" t="str">
        <f>IF(SUM(C2417:D2417)=0," ",SUM(C2417:D2417))</f>
        <v xml:space="preserve"> </v>
      </c>
      <c r="F2417" s="14"/>
      <c r="G2417" s="120" t="e">
        <f>VLOOKUP($B2417,Information!$C$8:$F$15,4,FALSE)</f>
        <v>#N/A</v>
      </c>
      <c r="H2417" s="210" t="str">
        <f>TEXT(A2417,"ddd")</f>
        <v>Sat</v>
      </c>
    </row>
    <row r="2418" spans="1:8" x14ac:dyDescent="0.25">
      <c r="A2418" s="13"/>
      <c r="B2418" s="14"/>
      <c r="C2418" s="39"/>
      <c r="D2418" s="39"/>
      <c r="E2418" s="36" t="str">
        <f>IF(SUM(C2418:D2418)=0," ",SUM(C2418:D2418))</f>
        <v xml:space="preserve"> </v>
      </c>
      <c r="F2418" s="14"/>
      <c r="G2418" s="120" t="e">
        <f>VLOOKUP($B2418,Information!$C$8:$F$15,4,FALSE)</f>
        <v>#N/A</v>
      </c>
      <c r="H2418" s="210" t="str">
        <f>TEXT(A2418,"ddd")</f>
        <v>Sat</v>
      </c>
    </row>
    <row r="2419" spans="1:8" x14ac:dyDescent="0.25">
      <c r="A2419" s="13"/>
      <c r="B2419" s="14"/>
      <c r="C2419" s="39"/>
      <c r="D2419" s="39"/>
      <c r="E2419" s="36" t="str">
        <f>IF(SUM(C2419:D2419)=0," ",SUM(C2419:D2419))</f>
        <v xml:space="preserve"> </v>
      </c>
      <c r="F2419" s="14"/>
      <c r="G2419" s="120" t="e">
        <f>VLOOKUP($B2419,Information!$C$8:$F$15,4,FALSE)</f>
        <v>#N/A</v>
      </c>
      <c r="H2419" s="210" t="str">
        <f>TEXT(A2419,"ddd")</f>
        <v>Sat</v>
      </c>
    </row>
    <row r="2420" spans="1:8" x14ac:dyDescent="0.25">
      <c r="A2420" s="13"/>
      <c r="B2420" s="14"/>
      <c r="C2420" s="39"/>
      <c r="D2420" s="39"/>
      <c r="E2420" s="36" t="str">
        <f>IF(SUM(C2420:D2420)=0," ",SUM(C2420:D2420))</f>
        <v xml:space="preserve"> </v>
      </c>
      <c r="F2420" s="14"/>
      <c r="G2420" s="120" t="e">
        <f>VLOOKUP($B2420,Information!$C$8:$F$15,4,FALSE)</f>
        <v>#N/A</v>
      </c>
      <c r="H2420" s="210" t="str">
        <f>TEXT(A2420,"ddd")</f>
        <v>Sat</v>
      </c>
    </row>
    <row r="2421" spans="1:8" x14ac:dyDescent="0.25">
      <c r="A2421" s="13"/>
      <c r="B2421" s="14"/>
      <c r="C2421" s="39"/>
      <c r="D2421" s="39"/>
      <c r="E2421" s="36" t="str">
        <f>IF(SUM(C2421:D2421)=0," ",SUM(C2421:D2421))</f>
        <v xml:space="preserve"> </v>
      </c>
      <c r="F2421" s="14"/>
      <c r="G2421" s="120" t="e">
        <f>VLOOKUP($B2421,Information!$C$8:$F$15,4,FALSE)</f>
        <v>#N/A</v>
      </c>
      <c r="H2421" s="210" t="str">
        <f>TEXT(A2421,"ddd")</f>
        <v>Sat</v>
      </c>
    </row>
    <row r="2422" spans="1:8" x14ac:dyDescent="0.25">
      <c r="A2422" s="13"/>
      <c r="B2422" s="14"/>
      <c r="C2422" s="39"/>
      <c r="D2422" s="39"/>
      <c r="E2422" s="36" t="str">
        <f>IF(SUM(C2422:D2422)=0," ",SUM(C2422:D2422))</f>
        <v xml:space="preserve"> </v>
      </c>
      <c r="F2422" s="14"/>
      <c r="G2422" s="120" t="e">
        <f>VLOOKUP($B2422,Information!$C$8:$F$15,4,FALSE)</f>
        <v>#N/A</v>
      </c>
      <c r="H2422" s="210" t="str">
        <f>TEXT(A2422,"ddd")</f>
        <v>Sat</v>
      </c>
    </row>
    <row r="2423" spans="1:8" x14ac:dyDescent="0.25">
      <c r="A2423" s="13"/>
      <c r="B2423" s="14"/>
      <c r="C2423" s="39"/>
      <c r="D2423" s="39"/>
      <c r="E2423" s="36" t="str">
        <f>IF(SUM(C2423:D2423)=0," ",SUM(C2423:D2423))</f>
        <v xml:space="preserve"> </v>
      </c>
      <c r="F2423" s="14"/>
      <c r="G2423" s="120" t="e">
        <f>VLOOKUP($B2423,Information!$C$8:$F$15,4,FALSE)</f>
        <v>#N/A</v>
      </c>
      <c r="H2423" s="210" t="str">
        <f>TEXT(A2423,"ddd")</f>
        <v>Sat</v>
      </c>
    </row>
    <row r="2424" spans="1:8" x14ac:dyDescent="0.25">
      <c r="A2424" s="13"/>
      <c r="B2424" s="14"/>
      <c r="C2424" s="39"/>
      <c r="D2424" s="39"/>
      <c r="E2424" s="36" t="str">
        <f>IF(SUM(C2424:D2424)=0," ",SUM(C2424:D2424))</f>
        <v xml:space="preserve"> </v>
      </c>
      <c r="F2424" s="14"/>
      <c r="G2424" s="120" t="e">
        <f>VLOOKUP($B2424,Information!$C$8:$F$15,4,FALSE)</f>
        <v>#N/A</v>
      </c>
      <c r="H2424" s="210" t="str">
        <f>TEXT(A2424,"ddd")</f>
        <v>Sat</v>
      </c>
    </row>
    <row r="2425" spans="1:8" x14ac:dyDescent="0.25">
      <c r="A2425" s="13"/>
      <c r="B2425" s="14"/>
      <c r="C2425" s="39"/>
      <c r="D2425" s="39"/>
      <c r="E2425" s="36" t="str">
        <f>IF(SUM(C2425:D2425)=0," ",SUM(C2425:D2425))</f>
        <v xml:space="preserve"> </v>
      </c>
      <c r="F2425" s="14"/>
      <c r="G2425" s="120" t="e">
        <f>VLOOKUP($B2425,Information!$C$8:$F$15,4,FALSE)</f>
        <v>#N/A</v>
      </c>
      <c r="H2425" s="210" t="str">
        <f>TEXT(A2425,"ddd")</f>
        <v>Sat</v>
      </c>
    </row>
    <row r="2426" spans="1:8" x14ac:dyDescent="0.25">
      <c r="A2426" s="13"/>
      <c r="B2426" s="14"/>
      <c r="C2426" s="39"/>
      <c r="D2426" s="39"/>
      <c r="E2426" s="36" t="str">
        <f>IF(SUM(C2426:D2426)=0," ",SUM(C2426:D2426))</f>
        <v xml:space="preserve"> </v>
      </c>
      <c r="F2426" s="14"/>
      <c r="G2426" s="120" t="e">
        <f>VLOOKUP($B2426,Information!$C$8:$F$15,4,FALSE)</f>
        <v>#N/A</v>
      </c>
      <c r="H2426" s="210" t="str">
        <f>TEXT(A2426,"ddd")</f>
        <v>Sat</v>
      </c>
    </row>
    <row r="2427" spans="1:8" x14ac:dyDescent="0.25">
      <c r="A2427" s="13"/>
      <c r="B2427" s="14"/>
      <c r="C2427" s="39"/>
      <c r="D2427" s="39"/>
      <c r="E2427" s="36" t="str">
        <f>IF(SUM(C2427:D2427)=0," ",SUM(C2427:D2427))</f>
        <v xml:space="preserve"> </v>
      </c>
      <c r="F2427" s="14"/>
      <c r="G2427" s="120" t="e">
        <f>VLOOKUP($B2427,Information!$C$8:$F$15,4,FALSE)</f>
        <v>#N/A</v>
      </c>
      <c r="H2427" s="210" t="str">
        <f>TEXT(A2427,"ddd")</f>
        <v>Sat</v>
      </c>
    </row>
    <row r="2428" spans="1:8" x14ac:dyDescent="0.25">
      <c r="A2428" s="13"/>
      <c r="B2428" s="14"/>
      <c r="C2428" s="39"/>
      <c r="D2428" s="39"/>
      <c r="E2428" s="36" t="str">
        <f>IF(SUM(C2428:D2428)=0," ",SUM(C2428:D2428))</f>
        <v xml:space="preserve"> </v>
      </c>
      <c r="F2428" s="14"/>
      <c r="G2428" s="120" t="e">
        <f>VLOOKUP($B2428,Information!$C$8:$F$15,4,FALSE)</f>
        <v>#N/A</v>
      </c>
      <c r="H2428" s="210" t="str">
        <f>TEXT(A2428,"ddd")</f>
        <v>Sat</v>
      </c>
    </row>
    <row r="2429" spans="1:8" x14ac:dyDescent="0.25">
      <c r="A2429" s="13"/>
      <c r="B2429" s="14"/>
      <c r="C2429" s="39"/>
      <c r="D2429" s="39"/>
      <c r="E2429" s="36" t="str">
        <f>IF(SUM(C2429:D2429)=0," ",SUM(C2429:D2429))</f>
        <v xml:space="preserve"> </v>
      </c>
      <c r="F2429" s="14"/>
      <c r="G2429" s="120" t="e">
        <f>VLOOKUP($B2429,Information!$C$8:$F$15,4,FALSE)</f>
        <v>#N/A</v>
      </c>
      <c r="H2429" s="210" t="str">
        <f>TEXT(A2429,"ddd")</f>
        <v>Sat</v>
      </c>
    </row>
    <row r="2430" spans="1:8" x14ac:dyDescent="0.25">
      <c r="A2430" s="13"/>
      <c r="B2430" s="14"/>
      <c r="C2430" s="39"/>
      <c r="D2430" s="39"/>
      <c r="E2430" s="36" t="str">
        <f>IF(SUM(C2430:D2430)=0," ",SUM(C2430:D2430))</f>
        <v xml:space="preserve"> </v>
      </c>
      <c r="F2430" s="14"/>
      <c r="G2430" s="120" t="e">
        <f>VLOOKUP($B2430,Information!$C$8:$F$15,4,FALSE)</f>
        <v>#N/A</v>
      </c>
      <c r="H2430" s="210" t="str">
        <f>TEXT(A2430,"ddd")</f>
        <v>Sat</v>
      </c>
    </row>
    <row r="2431" spans="1:8" x14ac:dyDescent="0.25">
      <c r="A2431" s="13"/>
      <c r="B2431" s="14"/>
      <c r="C2431" s="39"/>
      <c r="D2431" s="39"/>
      <c r="E2431" s="36" t="str">
        <f>IF(SUM(C2431:D2431)=0," ",SUM(C2431:D2431))</f>
        <v xml:space="preserve"> </v>
      </c>
      <c r="F2431" s="14"/>
      <c r="G2431" s="120" t="e">
        <f>VLOOKUP($B2431,Information!$C$8:$F$15,4,FALSE)</f>
        <v>#N/A</v>
      </c>
      <c r="H2431" s="210" t="str">
        <f>TEXT(A2431,"ddd")</f>
        <v>Sat</v>
      </c>
    </row>
    <row r="2432" spans="1:8" x14ac:dyDescent="0.25">
      <c r="A2432" s="13"/>
      <c r="B2432" s="14"/>
      <c r="C2432" s="39"/>
      <c r="D2432" s="39"/>
      <c r="E2432" s="36" t="str">
        <f>IF(SUM(C2432:D2432)=0," ",SUM(C2432:D2432))</f>
        <v xml:space="preserve"> </v>
      </c>
      <c r="F2432" s="14"/>
      <c r="G2432" s="120" t="e">
        <f>VLOOKUP($B2432,Information!$C$8:$F$15,4,FALSE)</f>
        <v>#N/A</v>
      </c>
      <c r="H2432" s="210" t="str">
        <f>TEXT(A2432,"ddd")</f>
        <v>Sat</v>
      </c>
    </row>
    <row r="2433" spans="1:8" x14ac:dyDescent="0.25">
      <c r="A2433" s="13"/>
      <c r="B2433" s="14"/>
      <c r="C2433" s="39"/>
      <c r="D2433" s="39"/>
      <c r="E2433" s="36" t="str">
        <f>IF(SUM(C2433:D2433)=0," ",SUM(C2433:D2433))</f>
        <v xml:space="preserve"> </v>
      </c>
      <c r="F2433" s="14"/>
      <c r="G2433" s="120" t="e">
        <f>VLOOKUP($B2433,Information!$C$8:$F$15,4,FALSE)</f>
        <v>#N/A</v>
      </c>
      <c r="H2433" s="210" t="str">
        <f>TEXT(A2433,"ddd")</f>
        <v>Sat</v>
      </c>
    </row>
    <row r="2434" spans="1:8" x14ac:dyDescent="0.25">
      <c r="A2434" s="13"/>
      <c r="B2434" s="14"/>
      <c r="C2434" s="39"/>
      <c r="D2434" s="39"/>
      <c r="E2434" s="36" t="str">
        <f>IF(SUM(C2434:D2434)=0," ",SUM(C2434:D2434))</f>
        <v xml:space="preserve"> </v>
      </c>
      <c r="F2434" s="14"/>
      <c r="G2434" s="120" t="e">
        <f>VLOOKUP($B2434,Information!$C$8:$F$15,4,FALSE)</f>
        <v>#N/A</v>
      </c>
      <c r="H2434" s="210" t="str">
        <f>TEXT(A2434,"ddd")</f>
        <v>Sat</v>
      </c>
    </row>
    <row r="2435" spans="1:8" x14ac:dyDescent="0.25">
      <c r="A2435" s="13"/>
      <c r="B2435" s="14"/>
      <c r="C2435" s="39"/>
      <c r="D2435" s="39"/>
      <c r="E2435" s="36" t="str">
        <f>IF(SUM(C2435:D2435)=0," ",SUM(C2435:D2435))</f>
        <v xml:space="preserve"> </v>
      </c>
      <c r="F2435" s="14"/>
      <c r="G2435" s="120" t="e">
        <f>VLOOKUP($B2435,Information!$C$8:$F$15,4,FALSE)</f>
        <v>#N/A</v>
      </c>
      <c r="H2435" s="210" t="str">
        <f>TEXT(A2435,"ddd")</f>
        <v>Sat</v>
      </c>
    </row>
    <row r="2436" spans="1:8" x14ac:dyDescent="0.25">
      <c r="A2436" s="13"/>
      <c r="B2436" s="14"/>
      <c r="C2436" s="39"/>
      <c r="D2436" s="39"/>
      <c r="E2436" s="36" t="str">
        <f>IF(SUM(C2436:D2436)=0," ",SUM(C2436:D2436))</f>
        <v xml:space="preserve"> </v>
      </c>
      <c r="F2436" s="14"/>
      <c r="G2436" s="120" t="e">
        <f>VLOOKUP($B2436,Information!$C$8:$F$15,4,FALSE)</f>
        <v>#N/A</v>
      </c>
      <c r="H2436" s="210" t="str">
        <f>TEXT(A2436,"ddd")</f>
        <v>Sat</v>
      </c>
    </row>
    <row r="2437" spans="1:8" x14ac:dyDescent="0.25">
      <c r="A2437" s="13"/>
      <c r="B2437" s="14"/>
      <c r="C2437" s="39"/>
      <c r="D2437" s="39"/>
      <c r="E2437" s="36" t="str">
        <f>IF(SUM(C2437:D2437)=0," ",SUM(C2437:D2437))</f>
        <v xml:space="preserve"> </v>
      </c>
      <c r="F2437" s="14"/>
      <c r="G2437" s="120" t="e">
        <f>VLOOKUP($B2437,Information!$C$8:$F$15,4,FALSE)</f>
        <v>#N/A</v>
      </c>
      <c r="H2437" s="210" t="str">
        <f>TEXT(A2437,"ddd")</f>
        <v>Sat</v>
      </c>
    </row>
    <row r="2438" spans="1:8" x14ac:dyDescent="0.25">
      <c r="A2438" s="13"/>
      <c r="B2438" s="14"/>
      <c r="C2438" s="39"/>
      <c r="D2438" s="39"/>
      <c r="E2438" s="36" t="str">
        <f>IF(SUM(C2438:D2438)=0," ",SUM(C2438:D2438))</f>
        <v xml:space="preserve"> </v>
      </c>
      <c r="F2438" s="14"/>
      <c r="G2438" s="120" t="e">
        <f>VLOOKUP($B2438,Information!$C$8:$F$15,4,FALSE)</f>
        <v>#N/A</v>
      </c>
      <c r="H2438" s="210" t="str">
        <f>TEXT(A2438,"ddd")</f>
        <v>Sat</v>
      </c>
    </row>
    <row r="2439" spans="1:8" x14ac:dyDescent="0.25">
      <c r="A2439" s="13"/>
      <c r="B2439" s="14"/>
      <c r="C2439" s="39"/>
      <c r="D2439" s="39"/>
      <c r="E2439" s="36" t="str">
        <f>IF(SUM(C2439:D2439)=0," ",SUM(C2439:D2439))</f>
        <v xml:space="preserve"> </v>
      </c>
      <c r="F2439" s="14"/>
      <c r="G2439" s="120" t="e">
        <f>VLOOKUP($B2439,Information!$C$8:$F$15,4,FALSE)</f>
        <v>#N/A</v>
      </c>
      <c r="H2439" s="210" t="str">
        <f>TEXT(A2439,"ddd")</f>
        <v>Sat</v>
      </c>
    </row>
    <row r="2440" spans="1:8" x14ac:dyDescent="0.25">
      <c r="A2440" s="13"/>
      <c r="B2440" s="14"/>
      <c r="C2440" s="39"/>
      <c r="D2440" s="39"/>
      <c r="E2440" s="36" t="str">
        <f>IF(SUM(C2440:D2440)=0," ",SUM(C2440:D2440))</f>
        <v xml:space="preserve"> </v>
      </c>
      <c r="F2440" s="14"/>
      <c r="G2440" s="120" t="e">
        <f>VLOOKUP($B2440,Information!$C$8:$F$15,4,FALSE)</f>
        <v>#N/A</v>
      </c>
      <c r="H2440" s="210" t="str">
        <f>TEXT(A2440,"ddd")</f>
        <v>Sat</v>
      </c>
    </row>
    <row r="2441" spans="1:8" x14ac:dyDescent="0.25">
      <c r="A2441" s="13"/>
      <c r="B2441" s="14"/>
      <c r="C2441" s="39"/>
      <c r="D2441" s="39"/>
      <c r="E2441" s="36" t="str">
        <f>IF(SUM(C2441:D2441)=0," ",SUM(C2441:D2441))</f>
        <v xml:space="preserve"> </v>
      </c>
      <c r="F2441" s="14"/>
      <c r="G2441" s="120" t="e">
        <f>VLOOKUP($B2441,Information!$C$8:$F$15,4,FALSE)</f>
        <v>#N/A</v>
      </c>
      <c r="H2441" s="210" t="str">
        <f>TEXT(A2441,"ddd")</f>
        <v>Sat</v>
      </c>
    </row>
    <row r="2442" spans="1:8" x14ac:dyDescent="0.25">
      <c r="A2442" s="13"/>
      <c r="B2442" s="14"/>
      <c r="C2442" s="39"/>
      <c r="D2442" s="39"/>
      <c r="E2442" s="36" t="str">
        <f>IF(SUM(C2442:D2442)=0," ",SUM(C2442:D2442))</f>
        <v xml:space="preserve"> </v>
      </c>
      <c r="F2442" s="14"/>
      <c r="G2442" s="120" t="e">
        <f>VLOOKUP($B2442,Information!$C$8:$F$15,4,FALSE)</f>
        <v>#N/A</v>
      </c>
      <c r="H2442" s="210" t="str">
        <f>TEXT(A2442,"ddd")</f>
        <v>Sat</v>
      </c>
    </row>
    <row r="2443" spans="1:8" x14ac:dyDescent="0.25">
      <c r="A2443" s="13"/>
      <c r="B2443" s="14"/>
      <c r="C2443" s="39"/>
      <c r="D2443" s="39"/>
      <c r="E2443" s="36" t="str">
        <f>IF(SUM(C2443:D2443)=0," ",SUM(C2443:D2443))</f>
        <v xml:space="preserve"> </v>
      </c>
      <c r="F2443" s="14"/>
      <c r="G2443" s="120" t="e">
        <f>VLOOKUP($B2443,Information!$C$8:$F$15,4,FALSE)</f>
        <v>#N/A</v>
      </c>
      <c r="H2443" s="210" t="str">
        <f>TEXT(A2443,"ddd")</f>
        <v>Sat</v>
      </c>
    </row>
    <row r="2444" spans="1:8" x14ac:dyDescent="0.25">
      <c r="A2444" s="13"/>
      <c r="B2444" s="14"/>
      <c r="C2444" s="39"/>
      <c r="D2444" s="39"/>
      <c r="E2444" s="36" t="str">
        <f>IF(SUM(C2444:D2444)=0," ",SUM(C2444:D2444))</f>
        <v xml:space="preserve"> </v>
      </c>
      <c r="F2444" s="14"/>
      <c r="G2444" s="120" t="e">
        <f>VLOOKUP($B2444,Information!$C$8:$F$15,4,FALSE)</f>
        <v>#N/A</v>
      </c>
      <c r="H2444" s="210" t="str">
        <f>TEXT(A2444,"ddd")</f>
        <v>Sat</v>
      </c>
    </row>
    <row r="2445" spans="1:8" x14ac:dyDescent="0.25">
      <c r="A2445" s="13"/>
      <c r="B2445" s="14"/>
      <c r="C2445" s="39"/>
      <c r="D2445" s="39"/>
      <c r="E2445" s="36" t="str">
        <f>IF(SUM(C2445:D2445)=0," ",SUM(C2445:D2445))</f>
        <v xml:space="preserve"> </v>
      </c>
      <c r="F2445" s="14"/>
      <c r="G2445" s="120" t="e">
        <f>VLOOKUP($B2445,Information!$C$8:$F$15,4,FALSE)</f>
        <v>#N/A</v>
      </c>
      <c r="H2445" s="210" t="str">
        <f>TEXT(A2445,"ddd")</f>
        <v>Sat</v>
      </c>
    </row>
    <row r="2446" spans="1:8" x14ac:dyDescent="0.25">
      <c r="A2446" s="13"/>
      <c r="B2446" s="14"/>
      <c r="C2446" s="39"/>
      <c r="D2446" s="39"/>
      <c r="E2446" s="36" t="str">
        <f>IF(SUM(C2446:D2446)=0," ",SUM(C2446:D2446))</f>
        <v xml:space="preserve"> </v>
      </c>
      <c r="F2446" s="14"/>
      <c r="G2446" s="120" t="e">
        <f>VLOOKUP($B2446,Information!$C$8:$F$15,4,FALSE)</f>
        <v>#N/A</v>
      </c>
      <c r="H2446" s="210" t="str">
        <f>TEXT(A2446,"ddd")</f>
        <v>Sat</v>
      </c>
    </row>
    <row r="2447" spans="1:8" x14ac:dyDescent="0.25">
      <c r="A2447" s="13"/>
      <c r="B2447" s="14"/>
      <c r="C2447" s="39"/>
      <c r="D2447" s="39"/>
      <c r="E2447" s="36" t="str">
        <f>IF(SUM(C2447:D2447)=0," ",SUM(C2447:D2447))</f>
        <v xml:space="preserve"> </v>
      </c>
      <c r="F2447" s="14"/>
      <c r="G2447" s="120" t="e">
        <f>VLOOKUP($B2447,Information!$C$8:$F$15,4,FALSE)</f>
        <v>#N/A</v>
      </c>
      <c r="H2447" s="210" t="str">
        <f>TEXT(A2447,"ddd")</f>
        <v>Sat</v>
      </c>
    </row>
    <row r="2448" spans="1:8" x14ac:dyDescent="0.25">
      <c r="A2448" s="13"/>
      <c r="B2448" s="14"/>
      <c r="C2448" s="39"/>
      <c r="D2448" s="39"/>
      <c r="E2448" s="36" t="str">
        <f>IF(SUM(C2448:D2448)=0," ",SUM(C2448:D2448))</f>
        <v xml:space="preserve"> </v>
      </c>
      <c r="F2448" s="14"/>
      <c r="G2448" s="120" t="e">
        <f>VLOOKUP($B2448,Information!$C$8:$F$15,4,FALSE)</f>
        <v>#N/A</v>
      </c>
      <c r="H2448" s="210" t="str">
        <f>TEXT(A2448,"ddd")</f>
        <v>Sat</v>
      </c>
    </row>
    <row r="2449" spans="1:8" x14ac:dyDescent="0.25">
      <c r="A2449" s="13"/>
      <c r="B2449" s="14"/>
      <c r="C2449" s="39"/>
      <c r="D2449" s="39"/>
      <c r="E2449" s="36" t="str">
        <f>IF(SUM(C2449:D2449)=0," ",SUM(C2449:D2449))</f>
        <v xml:space="preserve"> </v>
      </c>
      <c r="F2449" s="14"/>
      <c r="G2449" s="120" t="e">
        <f>VLOOKUP($B2449,Information!$C$8:$F$15,4,FALSE)</f>
        <v>#N/A</v>
      </c>
      <c r="H2449" s="210" t="str">
        <f>TEXT(A2449,"ddd")</f>
        <v>Sat</v>
      </c>
    </row>
    <row r="2450" spans="1:8" x14ac:dyDescent="0.25">
      <c r="A2450" s="13"/>
      <c r="B2450" s="14"/>
      <c r="C2450" s="39"/>
      <c r="D2450" s="39"/>
      <c r="E2450" s="36" t="str">
        <f>IF(SUM(C2450:D2450)=0," ",SUM(C2450:D2450))</f>
        <v xml:space="preserve"> </v>
      </c>
      <c r="F2450" s="14"/>
      <c r="G2450" s="120" t="e">
        <f>VLOOKUP($B2450,Information!$C$8:$F$15,4,FALSE)</f>
        <v>#N/A</v>
      </c>
      <c r="H2450" s="210" t="str">
        <f>TEXT(A2450,"ddd")</f>
        <v>Sat</v>
      </c>
    </row>
    <row r="2451" spans="1:8" x14ac:dyDescent="0.25">
      <c r="A2451" s="13"/>
      <c r="B2451" s="14"/>
      <c r="C2451" s="39"/>
      <c r="D2451" s="39"/>
      <c r="E2451" s="36" t="str">
        <f>IF(SUM(C2451:D2451)=0," ",SUM(C2451:D2451))</f>
        <v xml:space="preserve"> </v>
      </c>
      <c r="F2451" s="14"/>
      <c r="G2451" s="120" t="e">
        <f>VLOOKUP($B2451,Information!$C$8:$F$15,4,FALSE)</f>
        <v>#N/A</v>
      </c>
      <c r="H2451" s="210" t="str">
        <f>TEXT(A2451,"ddd")</f>
        <v>Sat</v>
      </c>
    </row>
    <row r="2452" spans="1:8" x14ac:dyDescent="0.25">
      <c r="A2452" s="13"/>
      <c r="B2452" s="14"/>
      <c r="C2452" s="39"/>
      <c r="D2452" s="39"/>
      <c r="E2452" s="36" t="str">
        <f>IF(SUM(C2452:D2452)=0," ",SUM(C2452:D2452))</f>
        <v xml:space="preserve"> </v>
      </c>
      <c r="F2452" s="14"/>
      <c r="G2452" s="120" t="e">
        <f>VLOOKUP($B2452,Information!$C$8:$F$15,4,FALSE)</f>
        <v>#N/A</v>
      </c>
      <c r="H2452" s="210" t="str">
        <f>TEXT(A2452,"ddd")</f>
        <v>Sat</v>
      </c>
    </row>
    <row r="2453" spans="1:8" x14ac:dyDescent="0.25">
      <c r="A2453" s="13"/>
      <c r="B2453" s="14"/>
      <c r="C2453" s="39"/>
      <c r="D2453" s="39"/>
      <c r="E2453" s="36" t="str">
        <f>IF(SUM(C2453:D2453)=0," ",SUM(C2453:D2453))</f>
        <v xml:space="preserve"> </v>
      </c>
      <c r="F2453" s="14"/>
      <c r="G2453" s="120" t="e">
        <f>VLOOKUP($B2453,Information!$C$8:$F$15,4,FALSE)</f>
        <v>#N/A</v>
      </c>
      <c r="H2453" s="210" t="str">
        <f>TEXT(A2453,"ddd")</f>
        <v>Sat</v>
      </c>
    </row>
    <row r="2454" spans="1:8" x14ac:dyDescent="0.25">
      <c r="A2454" s="13"/>
      <c r="B2454" s="14"/>
      <c r="C2454" s="39"/>
      <c r="D2454" s="39"/>
      <c r="E2454" s="36" t="str">
        <f>IF(SUM(C2454:D2454)=0," ",SUM(C2454:D2454))</f>
        <v xml:space="preserve"> </v>
      </c>
      <c r="F2454" s="14"/>
      <c r="G2454" s="120" t="e">
        <f>VLOOKUP($B2454,Information!$C$8:$F$15,4,FALSE)</f>
        <v>#N/A</v>
      </c>
      <c r="H2454" s="210" t="str">
        <f>TEXT(A2454,"ddd")</f>
        <v>Sat</v>
      </c>
    </row>
    <row r="2455" spans="1:8" x14ac:dyDescent="0.25">
      <c r="A2455" s="13"/>
      <c r="B2455" s="14"/>
      <c r="C2455" s="39"/>
      <c r="D2455" s="39"/>
      <c r="E2455" s="36" t="str">
        <f>IF(SUM(C2455:D2455)=0," ",SUM(C2455:D2455))</f>
        <v xml:space="preserve"> </v>
      </c>
      <c r="F2455" s="14"/>
      <c r="G2455" s="120" t="e">
        <f>VLOOKUP($B2455,Information!$C$8:$F$15,4,FALSE)</f>
        <v>#N/A</v>
      </c>
      <c r="H2455" s="210" t="str">
        <f>TEXT(A2455,"ddd")</f>
        <v>Sat</v>
      </c>
    </row>
    <row r="2456" spans="1:8" x14ac:dyDescent="0.25">
      <c r="A2456" s="13"/>
      <c r="B2456" s="14"/>
      <c r="C2456" s="39"/>
      <c r="D2456" s="39"/>
      <c r="E2456" s="36" t="str">
        <f>IF(SUM(C2456:D2456)=0," ",SUM(C2456:D2456))</f>
        <v xml:space="preserve"> </v>
      </c>
      <c r="F2456" s="14"/>
      <c r="G2456" s="120" t="e">
        <f>VLOOKUP($B2456,Information!$C$8:$F$15,4,FALSE)</f>
        <v>#N/A</v>
      </c>
      <c r="H2456" s="210" t="str">
        <f>TEXT(A2456,"ddd")</f>
        <v>Sat</v>
      </c>
    </row>
    <row r="2457" spans="1:8" x14ac:dyDescent="0.25">
      <c r="A2457" s="13"/>
      <c r="B2457" s="14"/>
      <c r="C2457" s="39"/>
      <c r="D2457" s="39"/>
      <c r="E2457" s="36" t="str">
        <f>IF(SUM(C2457:D2457)=0," ",SUM(C2457:D2457))</f>
        <v xml:space="preserve"> </v>
      </c>
      <c r="F2457" s="14"/>
      <c r="G2457" s="120" t="e">
        <f>VLOOKUP($B2457,Information!$C$8:$F$15,4,FALSE)</f>
        <v>#N/A</v>
      </c>
      <c r="H2457" s="210" t="str">
        <f>TEXT(A2457,"ddd")</f>
        <v>Sat</v>
      </c>
    </row>
    <row r="2458" spans="1:8" x14ac:dyDescent="0.25">
      <c r="A2458" s="13"/>
      <c r="B2458" s="14"/>
      <c r="C2458" s="39"/>
      <c r="D2458" s="39"/>
      <c r="E2458" s="36" t="str">
        <f>IF(SUM(C2458:D2458)=0," ",SUM(C2458:D2458))</f>
        <v xml:space="preserve"> </v>
      </c>
      <c r="F2458" s="14"/>
      <c r="G2458" s="120" t="e">
        <f>VLOOKUP($B2458,Information!$C$8:$F$15,4,FALSE)</f>
        <v>#N/A</v>
      </c>
      <c r="H2458" s="210" t="str">
        <f>TEXT(A2458,"ddd")</f>
        <v>Sat</v>
      </c>
    </row>
    <row r="2459" spans="1:8" x14ac:dyDescent="0.25">
      <c r="A2459" s="13"/>
      <c r="B2459" s="14"/>
      <c r="C2459" s="39"/>
      <c r="D2459" s="39"/>
      <c r="E2459" s="36" t="str">
        <f>IF(SUM(C2459:D2459)=0," ",SUM(C2459:D2459))</f>
        <v xml:space="preserve"> </v>
      </c>
      <c r="F2459" s="14"/>
      <c r="G2459" s="120" t="e">
        <f>VLOOKUP($B2459,Information!$C$8:$F$15,4,FALSE)</f>
        <v>#N/A</v>
      </c>
      <c r="H2459" s="210" t="str">
        <f>TEXT(A2459,"ddd")</f>
        <v>Sat</v>
      </c>
    </row>
    <row r="2460" spans="1:8" x14ac:dyDescent="0.25">
      <c r="A2460" s="13"/>
      <c r="B2460" s="14"/>
      <c r="C2460" s="39"/>
      <c r="D2460" s="39"/>
      <c r="E2460" s="36" t="str">
        <f>IF(SUM(C2460:D2460)=0," ",SUM(C2460:D2460))</f>
        <v xml:space="preserve"> </v>
      </c>
      <c r="F2460" s="14"/>
      <c r="G2460" s="120" t="e">
        <f>VLOOKUP($B2460,Information!$C$8:$F$15,4,FALSE)</f>
        <v>#N/A</v>
      </c>
      <c r="H2460" s="210" t="str">
        <f>TEXT(A2460,"ddd")</f>
        <v>Sat</v>
      </c>
    </row>
    <row r="2461" spans="1:8" x14ac:dyDescent="0.25">
      <c r="A2461" s="13"/>
      <c r="B2461" s="14"/>
      <c r="C2461" s="39"/>
      <c r="D2461" s="39"/>
      <c r="E2461" s="36" t="str">
        <f>IF(SUM(C2461:D2461)=0," ",SUM(C2461:D2461))</f>
        <v xml:space="preserve"> </v>
      </c>
      <c r="F2461" s="14"/>
      <c r="G2461" s="120" t="e">
        <f>VLOOKUP($B2461,Information!$C$8:$F$15,4,FALSE)</f>
        <v>#N/A</v>
      </c>
      <c r="H2461" s="210" t="str">
        <f>TEXT(A2461,"ddd")</f>
        <v>Sat</v>
      </c>
    </row>
    <row r="2462" spans="1:8" x14ac:dyDescent="0.25">
      <c r="A2462" s="13"/>
      <c r="B2462" s="14"/>
      <c r="C2462" s="39"/>
      <c r="D2462" s="39"/>
      <c r="E2462" s="36" t="str">
        <f>IF(SUM(C2462:D2462)=0," ",SUM(C2462:D2462))</f>
        <v xml:space="preserve"> </v>
      </c>
      <c r="F2462" s="14"/>
      <c r="G2462" s="120" t="e">
        <f>VLOOKUP($B2462,Information!$C$8:$F$15,4,FALSE)</f>
        <v>#N/A</v>
      </c>
      <c r="H2462" s="210" t="str">
        <f>TEXT(A2462,"ddd")</f>
        <v>Sat</v>
      </c>
    </row>
    <row r="2463" spans="1:8" x14ac:dyDescent="0.25">
      <c r="A2463" s="13"/>
      <c r="B2463" s="14"/>
      <c r="C2463" s="39"/>
      <c r="D2463" s="39"/>
      <c r="E2463" s="36" t="str">
        <f>IF(SUM(C2463:D2463)=0," ",SUM(C2463:D2463))</f>
        <v xml:space="preserve"> </v>
      </c>
      <c r="F2463" s="14"/>
      <c r="G2463" s="120" t="e">
        <f>VLOOKUP($B2463,Information!$C$8:$F$15,4,FALSE)</f>
        <v>#N/A</v>
      </c>
      <c r="H2463" s="210" t="str">
        <f>TEXT(A2463,"ddd")</f>
        <v>Sat</v>
      </c>
    </row>
    <row r="2464" spans="1:8" x14ac:dyDescent="0.25">
      <c r="A2464" s="13"/>
      <c r="B2464" s="14"/>
      <c r="C2464" s="39"/>
      <c r="D2464" s="39"/>
      <c r="E2464" s="36" t="str">
        <f>IF(SUM(C2464:D2464)=0," ",SUM(C2464:D2464))</f>
        <v xml:space="preserve"> </v>
      </c>
      <c r="F2464" s="14"/>
      <c r="G2464" s="120" t="e">
        <f>VLOOKUP($B2464,Information!$C$8:$F$15,4,FALSE)</f>
        <v>#N/A</v>
      </c>
      <c r="H2464" s="210" t="str">
        <f>TEXT(A2464,"ddd")</f>
        <v>Sat</v>
      </c>
    </row>
    <row r="2465" spans="1:8" x14ac:dyDescent="0.25">
      <c r="A2465" s="13"/>
      <c r="B2465" s="14"/>
      <c r="C2465" s="39"/>
      <c r="D2465" s="39"/>
      <c r="E2465" s="36" t="str">
        <f>IF(SUM(C2465:D2465)=0," ",SUM(C2465:D2465))</f>
        <v xml:space="preserve"> </v>
      </c>
      <c r="F2465" s="14"/>
      <c r="G2465" s="120" t="e">
        <f>VLOOKUP($B2465,Information!$C$8:$F$15,4,FALSE)</f>
        <v>#N/A</v>
      </c>
      <c r="H2465" s="210" t="str">
        <f>TEXT(A2465,"ddd")</f>
        <v>Sat</v>
      </c>
    </row>
    <row r="2466" spans="1:8" x14ac:dyDescent="0.25">
      <c r="A2466" s="13"/>
      <c r="B2466" s="14"/>
      <c r="C2466" s="39"/>
      <c r="D2466" s="39"/>
      <c r="E2466" s="36" t="str">
        <f>IF(SUM(C2466:D2466)=0," ",SUM(C2466:D2466))</f>
        <v xml:space="preserve"> </v>
      </c>
      <c r="F2466" s="14"/>
      <c r="G2466" s="120" t="e">
        <f>VLOOKUP($B2466,Information!$C$8:$F$15,4,FALSE)</f>
        <v>#N/A</v>
      </c>
      <c r="H2466" s="210" t="str">
        <f>TEXT(A2466,"ddd")</f>
        <v>Sat</v>
      </c>
    </row>
    <row r="2467" spans="1:8" x14ac:dyDescent="0.25">
      <c r="A2467" s="13"/>
      <c r="B2467" s="14"/>
      <c r="C2467" s="39"/>
      <c r="D2467" s="39"/>
      <c r="E2467" s="36" t="str">
        <f>IF(SUM(C2467:D2467)=0," ",SUM(C2467:D2467))</f>
        <v xml:space="preserve"> </v>
      </c>
      <c r="F2467" s="14"/>
      <c r="G2467" s="120" t="e">
        <f>VLOOKUP($B2467,Information!$C$8:$F$15,4,FALSE)</f>
        <v>#N/A</v>
      </c>
      <c r="H2467" s="210" t="str">
        <f>TEXT(A2467,"ddd")</f>
        <v>Sat</v>
      </c>
    </row>
    <row r="2468" spans="1:8" x14ac:dyDescent="0.25">
      <c r="A2468" s="13"/>
      <c r="B2468" s="14"/>
      <c r="C2468" s="39"/>
      <c r="D2468" s="39"/>
      <c r="E2468" s="36" t="str">
        <f>IF(SUM(C2468:D2468)=0," ",SUM(C2468:D2468))</f>
        <v xml:space="preserve"> </v>
      </c>
      <c r="F2468" s="14"/>
      <c r="G2468" s="120" t="e">
        <f>VLOOKUP($B2468,Information!$C$8:$F$15,4,FALSE)</f>
        <v>#N/A</v>
      </c>
      <c r="H2468" s="210" t="str">
        <f>TEXT(A2468,"ddd")</f>
        <v>Sat</v>
      </c>
    </row>
    <row r="2469" spans="1:8" x14ac:dyDescent="0.25">
      <c r="A2469" s="13"/>
      <c r="B2469" s="14"/>
      <c r="C2469" s="39"/>
      <c r="D2469" s="39"/>
      <c r="E2469" s="36" t="str">
        <f>IF(SUM(C2469:D2469)=0," ",SUM(C2469:D2469))</f>
        <v xml:space="preserve"> </v>
      </c>
      <c r="F2469" s="14"/>
      <c r="G2469" s="120" t="e">
        <f>VLOOKUP($B2469,Information!$C$8:$F$15,4,FALSE)</f>
        <v>#N/A</v>
      </c>
      <c r="H2469" s="210" t="str">
        <f>TEXT(A2469,"ddd")</f>
        <v>Sat</v>
      </c>
    </row>
    <row r="2470" spans="1:8" x14ac:dyDescent="0.25">
      <c r="A2470" s="13"/>
      <c r="B2470" s="14"/>
      <c r="C2470" s="39"/>
      <c r="D2470" s="39"/>
      <c r="E2470" s="36" t="str">
        <f>IF(SUM(C2470:D2470)=0," ",SUM(C2470:D2470))</f>
        <v xml:space="preserve"> </v>
      </c>
      <c r="F2470" s="14"/>
      <c r="G2470" s="120" t="e">
        <f>VLOOKUP($B2470,Information!$C$8:$F$15,4,FALSE)</f>
        <v>#N/A</v>
      </c>
      <c r="H2470" s="210" t="str">
        <f>TEXT(A2470,"ddd")</f>
        <v>Sat</v>
      </c>
    </row>
    <row r="2471" spans="1:8" x14ac:dyDescent="0.25">
      <c r="A2471" s="13"/>
      <c r="B2471" s="14"/>
      <c r="C2471" s="39"/>
      <c r="D2471" s="39"/>
      <c r="E2471" s="36" t="str">
        <f>IF(SUM(C2471:D2471)=0," ",SUM(C2471:D2471))</f>
        <v xml:space="preserve"> </v>
      </c>
      <c r="F2471" s="14"/>
      <c r="G2471" s="120" t="e">
        <f>VLOOKUP($B2471,Information!$C$8:$F$15,4,FALSE)</f>
        <v>#N/A</v>
      </c>
      <c r="H2471" s="210" t="str">
        <f>TEXT(A2471,"ddd")</f>
        <v>Sat</v>
      </c>
    </row>
    <row r="2472" spans="1:8" x14ac:dyDescent="0.25">
      <c r="A2472" s="13"/>
      <c r="B2472" s="14"/>
      <c r="C2472" s="39"/>
      <c r="D2472" s="39"/>
      <c r="E2472" s="36" t="str">
        <f>IF(SUM(C2472:D2472)=0," ",SUM(C2472:D2472))</f>
        <v xml:space="preserve"> </v>
      </c>
      <c r="F2472" s="14"/>
      <c r="G2472" s="120" t="e">
        <f>VLOOKUP($B2472,Information!$C$8:$F$15,4,FALSE)</f>
        <v>#N/A</v>
      </c>
      <c r="H2472" s="210" t="str">
        <f>TEXT(A2472,"ddd")</f>
        <v>Sat</v>
      </c>
    </row>
    <row r="2473" spans="1:8" x14ac:dyDescent="0.25">
      <c r="A2473" s="13"/>
      <c r="B2473" s="14"/>
      <c r="C2473" s="39"/>
      <c r="D2473" s="39"/>
      <c r="E2473" s="36" t="str">
        <f>IF(SUM(C2473:D2473)=0," ",SUM(C2473:D2473))</f>
        <v xml:space="preserve"> </v>
      </c>
      <c r="F2473" s="14"/>
      <c r="G2473" s="120" t="e">
        <f>VLOOKUP($B2473,Information!$C$8:$F$15,4,FALSE)</f>
        <v>#N/A</v>
      </c>
      <c r="H2473" s="210" t="str">
        <f>TEXT(A2473,"ddd")</f>
        <v>Sat</v>
      </c>
    </row>
    <row r="2474" spans="1:8" x14ac:dyDescent="0.25">
      <c r="A2474" s="13"/>
      <c r="B2474" s="14"/>
      <c r="C2474" s="39"/>
      <c r="D2474" s="39"/>
      <c r="E2474" s="36" t="str">
        <f>IF(SUM(C2474:D2474)=0," ",SUM(C2474:D2474))</f>
        <v xml:space="preserve"> </v>
      </c>
      <c r="F2474" s="14"/>
      <c r="G2474" s="120" t="e">
        <f>VLOOKUP($B2474,Information!$C$8:$F$15,4,FALSE)</f>
        <v>#N/A</v>
      </c>
      <c r="H2474" s="210" t="str">
        <f>TEXT(A2474,"ddd")</f>
        <v>Sat</v>
      </c>
    </row>
    <row r="2475" spans="1:8" x14ac:dyDescent="0.25">
      <c r="A2475" s="13"/>
      <c r="B2475" s="14"/>
      <c r="C2475" s="39"/>
      <c r="D2475" s="39"/>
      <c r="E2475" s="36" t="str">
        <f>IF(SUM(C2475:D2475)=0," ",SUM(C2475:D2475))</f>
        <v xml:space="preserve"> </v>
      </c>
      <c r="F2475" s="14"/>
      <c r="G2475" s="120" t="e">
        <f>VLOOKUP($B2475,Information!$C$8:$F$15,4,FALSE)</f>
        <v>#N/A</v>
      </c>
      <c r="H2475" s="210" t="str">
        <f>TEXT(A2475,"ddd")</f>
        <v>Sat</v>
      </c>
    </row>
    <row r="2476" spans="1:8" x14ac:dyDescent="0.25">
      <c r="A2476" s="13"/>
      <c r="B2476" s="14"/>
      <c r="C2476" s="39"/>
      <c r="D2476" s="39"/>
      <c r="E2476" s="36" t="str">
        <f>IF(SUM(C2476:D2476)=0," ",SUM(C2476:D2476))</f>
        <v xml:space="preserve"> </v>
      </c>
      <c r="F2476" s="14"/>
      <c r="G2476" s="120" t="e">
        <f>VLOOKUP($B2476,Information!$C$8:$F$15,4,FALSE)</f>
        <v>#N/A</v>
      </c>
      <c r="H2476" s="210" t="str">
        <f>TEXT(A2476,"ddd")</f>
        <v>Sat</v>
      </c>
    </row>
    <row r="2477" spans="1:8" x14ac:dyDescent="0.25">
      <c r="A2477" s="13"/>
      <c r="B2477" s="14"/>
      <c r="C2477" s="39"/>
      <c r="D2477" s="39"/>
      <c r="E2477" s="36" t="str">
        <f>IF(SUM(C2477:D2477)=0," ",SUM(C2477:D2477))</f>
        <v xml:space="preserve"> </v>
      </c>
      <c r="F2477" s="14"/>
      <c r="G2477" s="120" t="e">
        <f>VLOOKUP($B2477,Information!$C$8:$F$15,4,FALSE)</f>
        <v>#N/A</v>
      </c>
      <c r="H2477" s="210" t="str">
        <f>TEXT(A2477,"ddd")</f>
        <v>Sat</v>
      </c>
    </row>
    <row r="2478" spans="1:8" x14ac:dyDescent="0.25">
      <c r="A2478" s="13"/>
      <c r="B2478" s="14"/>
      <c r="C2478" s="39"/>
      <c r="D2478" s="39"/>
      <c r="E2478" s="36" t="str">
        <f>IF(SUM(C2478:D2478)=0," ",SUM(C2478:D2478))</f>
        <v xml:space="preserve"> </v>
      </c>
      <c r="F2478" s="14"/>
      <c r="G2478" s="120" t="e">
        <f>VLOOKUP($B2478,Information!$C$8:$F$15,4,FALSE)</f>
        <v>#N/A</v>
      </c>
      <c r="H2478" s="210" t="str">
        <f>TEXT(A2478,"ddd")</f>
        <v>Sat</v>
      </c>
    </row>
    <row r="2479" spans="1:8" x14ac:dyDescent="0.25">
      <c r="A2479" s="13"/>
      <c r="B2479" s="14"/>
      <c r="C2479" s="39"/>
      <c r="D2479" s="39"/>
      <c r="E2479" s="36" t="str">
        <f>IF(SUM(C2479:D2479)=0," ",SUM(C2479:D2479))</f>
        <v xml:space="preserve"> </v>
      </c>
      <c r="F2479" s="14"/>
      <c r="G2479" s="120" t="e">
        <f>VLOOKUP($B2479,Information!$C$8:$F$15,4,FALSE)</f>
        <v>#N/A</v>
      </c>
      <c r="H2479" s="210" t="str">
        <f>TEXT(A2479,"ddd")</f>
        <v>Sat</v>
      </c>
    </row>
    <row r="2480" spans="1:8" x14ac:dyDescent="0.25">
      <c r="A2480" s="13"/>
      <c r="B2480" s="14"/>
      <c r="C2480" s="39"/>
      <c r="D2480" s="39"/>
      <c r="E2480" s="36" t="str">
        <f>IF(SUM(C2480:D2480)=0," ",SUM(C2480:D2480))</f>
        <v xml:space="preserve"> </v>
      </c>
      <c r="F2480" s="14"/>
      <c r="G2480" s="120" t="e">
        <f>VLOOKUP($B2480,Information!$C$8:$F$15,4,FALSE)</f>
        <v>#N/A</v>
      </c>
      <c r="H2480" s="210" t="str">
        <f>TEXT(A2480,"ddd")</f>
        <v>Sat</v>
      </c>
    </row>
    <row r="2481" spans="1:8" x14ac:dyDescent="0.25">
      <c r="A2481" s="13"/>
      <c r="B2481" s="14"/>
      <c r="C2481" s="39"/>
      <c r="D2481" s="39"/>
      <c r="E2481" s="36" t="str">
        <f>IF(SUM(C2481:D2481)=0," ",SUM(C2481:D2481))</f>
        <v xml:space="preserve"> </v>
      </c>
      <c r="F2481" s="14"/>
      <c r="G2481" s="120" t="e">
        <f>VLOOKUP($B2481,Information!$C$8:$F$15,4,FALSE)</f>
        <v>#N/A</v>
      </c>
      <c r="H2481" s="210" t="str">
        <f>TEXT(A2481,"ddd")</f>
        <v>Sat</v>
      </c>
    </row>
    <row r="2482" spans="1:8" x14ac:dyDescent="0.25">
      <c r="A2482" s="13"/>
      <c r="B2482" s="14"/>
      <c r="C2482" s="39"/>
      <c r="D2482" s="39"/>
      <c r="E2482" s="36" t="str">
        <f>IF(SUM(C2482:D2482)=0," ",SUM(C2482:D2482))</f>
        <v xml:space="preserve"> </v>
      </c>
      <c r="F2482" s="14"/>
      <c r="G2482" s="120" t="e">
        <f>VLOOKUP($B2482,Information!$C$8:$F$15,4,FALSE)</f>
        <v>#N/A</v>
      </c>
      <c r="H2482" s="210" t="str">
        <f>TEXT(A2482,"ddd")</f>
        <v>Sat</v>
      </c>
    </row>
    <row r="2483" spans="1:8" x14ac:dyDescent="0.25">
      <c r="A2483" s="13"/>
      <c r="B2483" s="14"/>
      <c r="C2483" s="39"/>
      <c r="D2483" s="39"/>
      <c r="E2483" s="36" t="str">
        <f>IF(SUM(C2483:D2483)=0," ",SUM(C2483:D2483))</f>
        <v xml:space="preserve"> </v>
      </c>
      <c r="F2483" s="14"/>
      <c r="G2483" s="120" t="e">
        <f>VLOOKUP($B2483,Information!$C$8:$F$15,4,FALSE)</f>
        <v>#N/A</v>
      </c>
      <c r="H2483" s="210" t="str">
        <f>TEXT(A2483,"ddd")</f>
        <v>Sat</v>
      </c>
    </row>
    <row r="2484" spans="1:8" x14ac:dyDescent="0.25">
      <c r="A2484" s="13"/>
      <c r="B2484" s="14"/>
      <c r="C2484" s="39"/>
      <c r="D2484" s="39"/>
      <c r="E2484" s="36" t="str">
        <f>IF(SUM(C2484:D2484)=0," ",SUM(C2484:D2484))</f>
        <v xml:space="preserve"> </v>
      </c>
      <c r="F2484" s="14"/>
      <c r="G2484" s="120" t="e">
        <f>VLOOKUP($B2484,Information!$C$8:$F$15,4,FALSE)</f>
        <v>#N/A</v>
      </c>
      <c r="H2484" s="210" t="str">
        <f>TEXT(A2484,"ddd")</f>
        <v>Sat</v>
      </c>
    </row>
    <row r="2485" spans="1:8" x14ac:dyDescent="0.25">
      <c r="A2485" s="13"/>
      <c r="B2485" s="14"/>
      <c r="C2485" s="39"/>
      <c r="D2485" s="39"/>
      <c r="E2485" s="36" t="str">
        <f>IF(SUM(C2485:D2485)=0," ",SUM(C2485:D2485))</f>
        <v xml:space="preserve"> </v>
      </c>
      <c r="F2485" s="14"/>
      <c r="G2485" s="120" t="e">
        <f>VLOOKUP($B2485,Information!$C$8:$F$15,4,FALSE)</f>
        <v>#N/A</v>
      </c>
      <c r="H2485" s="210" t="str">
        <f>TEXT(A2485,"ddd")</f>
        <v>Sat</v>
      </c>
    </row>
    <row r="2486" spans="1:8" x14ac:dyDescent="0.25">
      <c r="A2486" s="13"/>
      <c r="B2486" s="14"/>
      <c r="C2486" s="39"/>
      <c r="D2486" s="39"/>
      <c r="E2486" s="36" t="str">
        <f>IF(SUM(C2486:D2486)=0," ",SUM(C2486:D2486))</f>
        <v xml:space="preserve"> </v>
      </c>
      <c r="F2486" s="14"/>
      <c r="G2486" s="120" t="e">
        <f>VLOOKUP($B2486,Information!$C$8:$F$15,4,FALSE)</f>
        <v>#N/A</v>
      </c>
      <c r="H2486" s="210" t="str">
        <f>TEXT(A2486,"ddd")</f>
        <v>Sat</v>
      </c>
    </row>
    <row r="2487" spans="1:8" x14ac:dyDescent="0.25">
      <c r="A2487" s="13"/>
      <c r="B2487" s="14"/>
      <c r="C2487" s="39"/>
      <c r="D2487" s="39"/>
      <c r="E2487" s="36" t="str">
        <f>IF(SUM(C2487:D2487)=0," ",SUM(C2487:D2487))</f>
        <v xml:space="preserve"> </v>
      </c>
      <c r="F2487" s="14"/>
      <c r="G2487" s="120" t="e">
        <f>VLOOKUP($B2487,Information!$C$8:$F$15,4,FALSE)</f>
        <v>#N/A</v>
      </c>
      <c r="H2487" s="210" t="str">
        <f>TEXT(A2487,"ddd")</f>
        <v>Sat</v>
      </c>
    </row>
    <row r="2488" spans="1:8" x14ac:dyDescent="0.25">
      <c r="A2488" s="13"/>
      <c r="B2488" s="14"/>
      <c r="C2488" s="39"/>
      <c r="D2488" s="39"/>
      <c r="E2488" s="36" t="str">
        <f>IF(SUM(C2488:D2488)=0," ",SUM(C2488:D2488))</f>
        <v xml:space="preserve"> </v>
      </c>
      <c r="F2488" s="14"/>
      <c r="G2488" s="120" t="e">
        <f>VLOOKUP($B2488,Information!$C$8:$F$15,4,FALSE)</f>
        <v>#N/A</v>
      </c>
      <c r="H2488" s="210" t="str">
        <f>TEXT(A2488,"ddd")</f>
        <v>Sat</v>
      </c>
    </row>
    <row r="2489" spans="1:8" x14ac:dyDescent="0.25">
      <c r="A2489" s="13"/>
      <c r="B2489" s="14"/>
      <c r="C2489" s="39"/>
      <c r="D2489" s="39"/>
      <c r="E2489" s="36" t="str">
        <f>IF(SUM(C2489:D2489)=0," ",SUM(C2489:D2489))</f>
        <v xml:space="preserve"> </v>
      </c>
      <c r="F2489" s="14"/>
      <c r="G2489" s="120" t="e">
        <f>VLOOKUP($B2489,Information!$C$8:$F$15,4,FALSE)</f>
        <v>#N/A</v>
      </c>
      <c r="H2489" s="210" t="str">
        <f>TEXT(A2489,"ddd")</f>
        <v>Sat</v>
      </c>
    </row>
    <row r="2490" spans="1:8" x14ac:dyDescent="0.25">
      <c r="A2490" s="13"/>
      <c r="B2490" s="14"/>
      <c r="C2490" s="39"/>
      <c r="D2490" s="39"/>
      <c r="E2490" s="36" t="str">
        <f>IF(SUM(C2490:D2490)=0," ",SUM(C2490:D2490))</f>
        <v xml:space="preserve"> </v>
      </c>
      <c r="F2490" s="14"/>
      <c r="G2490" s="120" t="e">
        <f>VLOOKUP($B2490,Information!$C$8:$F$15,4,FALSE)</f>
        <v>#N/A</v>
      </c>
      <c r="H2490" s="210" t="str">
        <f>TEXT(A2490,"ddd")</f>
        <v>Sat</v>
      </c>
    </row>
    <row r="2491" spans="1:8" x14ac:dyDescent="0.25">
      <c r="A2491" s="13"/>
      <c r="B2491" s="14"/>
      <c r="C2491" s="39"/>
      <c r="D2491" s="39"/>
      <c r="E2491" s="36" t="str">
        <f>IF(SUM(C2491:D2491)=0," ",SUM(C2491:D2491))</f>
        <v xml:space="preserve"> </v>
      </c>
      <c r="F2491" s="14"/>
      <c r="G2491" s="120" t="e">
        <f>VLOOKUP($B2491,Information!$C$8:$F$15,4,FALSE)</f>
        <v>#N/A</v>
      </c>
      <c r="H2491" s="210" t="str">
        <f>TEXT(A2491,"ddd")</f>
        <v>Sat</v>
      </c>
    </row>
    <row r="2492" spans="1:8" x14ac:dyDescent="0.25">
      <c r="A2492" s="13"/>
      <c r="B2492" s="14"/>
      <c r="C2492" s="39"/>
      <c r="D2492" s="39"/>
      <c r="E2492" s="36" t="str">
        <f>IF(SUM(C2492:D2492)=0," ",SUM(C2492:D2492))</f>
        <v xml:space="preserve"> </v>
      </c>
      <c r="F2492" s="14"/>
      <c r="G2492" s="120" t="e">
        <f>VLOOKUP($B2492,Information!$C$8:$F$15,4,FALSE)</f>
        <v>#N/A</v>
      </c>
      <c r="H2492" s="210" t="str">
        <f>TEXT(A2492,"ddd")</f>
        <v>Sat</v>
      </c>
    </row>
    <row r="2493" spans="1:8" x14ac:dyDescent="0.25">
      <c r="A2493" s="13"/>
      <c r="B2493" s="14"/>
      <c r="C2493" s="39"/>
      <c r="D2493" s="39"/>
      <c r="E2493" s="36" t="str">
        <f>IF(SUM(C2493:D2493)=0," ",SUM(C2493:D2493))</f>
        <v xml:space="preserve"> </v>
      </c>
      <c r="F2493" s="14"/>
      <c r="G2493" s="120" t="e">
        <f>VLOOKUP($B2493,Information!$C$8:$F$15,4,FALSE)</f>
        <v>#N/A</v>
      </c>
      <c r="H2493" s="210" t="str">
        <f>TEXT(A2493,"ddd")</f>
        <v>Sat</v>
      </c>
    </row>
    <row r="2494" spans="1:8" x14ac:dyDescent="0.25">
      <c r="A2494" s="13"/>
      <c r="B2494" s="14"/>
      <c r="C2494" s="39"/>
      <c r="D2494" s="39"/>
      <c r="E2494" s="36" t="str">
        <f>IF(SUM(C2494:D2494)=0," ",SUM(C2494:D2494))</f>
        <v xml:space="preserve"> </v>
      </c>
      <c r="F2494" s="14"/>
      <c r="G2494" s="120" t="e">
        <f>VLOOKUP($B2494,Information!$C$8:$F$15,4,FALSE)</f>
        <v>#N/A</v>
      </c>
      <c r="H2494" s="210" t="str">
        <f>TEXT(A2494,"ddd")</f>
        <v>Sat</v>
      </c>
    </row>
    <row r="2495" spans="1:8" x14ac:dyDescent="0.25">
      <c r="A2495" s="13"/>
      <c r="B2495" s="14"/>
      <c r="C2495" s="39"/>
      <c r="D2495" s="39"/>
      <c r="E2495" s="36" t="str">
        <f>IF(SUM(C2495:D2495)=0," ",SUM(C2495:D2495))</f>
        <v xml:space="preserve"> </v>
      </c>
      <c r="F2495" s="14"/>
      <c r="G2495" s="120" t="e">
        <f>VLOOKUP($B2495,Information!$C$8:$F$15,4,FALSE)</f>
        <v>#N/A</v>
      </c>
      <c r="H2495" s="210" t="str">
        <f>TEXT(A2495,"ddd")</f>
        <v>Sat</v>
      </c>
    </row>
    <row r="2496" spans="1:8" x14ac:dyDescent="0.25">
      <c r="A2496" s="13"/>
      <c r="B2496" s="14"/>
      <c r="C2496" s="39"/>
      <c r="D2496" s="39"/>
      <c r="E2496" s="36" t="str">
        <f>IF(SUM(C2496:D2496)=0," ",SUM(C2496:D2496))</f>
        <v xml:space="preserve"> </v>
      </c>
      <c r="F2496" s="14"/>
      <c r="G2496" s="120" t="e">
        <f>VLOOKUP($B2496,Information!$C$8:$F$15,4,FALSE)</f>
        <v>#N/A</v>
      </c>
      <c r="H2496" s="210" t="str">
        <f>TEXT(A2496,"ddd")</f>
        <v>Sat</v>
      </c>
    </row>
    <row r="2497" spans="1:8" x14ac:dyDescent="0.25">
      <c r="A2497" s="13"/>
      <c r="B2497" s="14"/>
      <c r="C2497" s="39"/>
      <c r="D2497" s="39"/>
      <c r="E2497" s="36" t="str">
        <f>IF(SUM(C2497:D2497)=0," ",SUM(C2497:D2497))</f>
        <v xml:space="preserve"> </v>
      </c>
      <c r="F2497" s="14"/>
      <c r="G2497" s="120" t="e">
        <f>VLOOKUP($B2497,Information!$C$8:$F$15,4,FALSE)</f>
        <v>#N/A</v>
      </c>
      <c r="H2497" s="210" t="str">
        <f>TEXT(A2497,"ddd")</f>
        <v>Sat</v>
      </c>
    </row>
    <row r="2498" spans="1:8" x14ac:dyDescent="0.25">
      <c r="A2498" s="13"/>
      <c r="B2498" s="14"/>
      <c r="C2498" s="39"/>
      <c r="D2498" s="39"/>
      <c r="E2498" s="36" t="str">
        <f>IF(SUM(C2498:D2498)=0," ",SUM(C2498:D2498))</f>
        <v xml:space="preserve"> </v>
      </c>
      <c r="F2498" s="14"/>
      <c r="G2498" s="120" t="e">
        <f>VLOOKUP($B2498,Information!$C$8:$F$15,4,FALSE)</f>
        <v>#N/A</v>
      </c>
      <c r="H2498" s="210" t="str">
        <f>TEXT(A2498,"ddd")</f>
        <v>Sat</v>
      </c>
    </row>
    <row r="2499" spans="1:8" x14ac:dyDescent="0.25">
      <c r="A2499" s="13"/>
      <c r="B2499" s="14"/>
      <c r="C2499" s="39"/>
      <c r="D2499" s="39"/>
      <c r="E2499" s="36" t="str">
        <f>IF(SUM(C2499:D2499)=0," ",SUM(C2499:D2499))</f>
        <v xml:space="preserve"> </v>
      </c>
      <c r="F2499" s="14"/>
      <c r="G2499" s="120" t="e">
        <f>VLOOKUP($B2499,Information!$C$8:$F$15,4,FALSE)</f>
        <v>#N/A</v>
      </c>
      <c r="H2499" s="210" t="str">
        <f>TEXT(A2499,"ddd")</f>
        <v>Sat</v>
      </c>
    </row>
    <row r="2500" spans="1:8" x14ac:dyDescent="0.25">
      <c r="A2500" s="13"/>
      <c r="B2500" s="14"/>
      <c r="C2500" s="39"/>
      <c r="D2500" s="39"/>
      <c r="E2500" s="36" t="str">
        <f>IF(SUM(C2500:D2500)=0," ",SUM(C2500:D2500))</f>
        <v xml:space="preserve"> </v>
      </c>
      <c r="F2500" s="14"/>
      <c r="G2500" s="120" t="e">
        <f>VLOOKUP($B2500,Information!$C$8:$F$15,4,FALSE)</f>
        <v>#N/A</v>
      </c>
      <c r="H2500" s="210" t="str">
        <f>TEXT(A2500,"ddd")</f>
        <v>Sat</v>
      </c>
    </row>
    <row r="2501" spans="1:8" x14ac:dyDescent="0.25">
      <c r="A2501" s="13"/>
      <c r="B2501" s="14"/>
      <c r="C2501" s="39"/>
      <c r="D2501" s="39"/>
      <c r="E2501" s="36" t="str">
        <f>IF(SUM(C2501:D2501)=0," ",SUM(C2501:D2501))</f>
        <v xml:space="preserve"> </v>
      </c>
      <c r="F2501" s="14"/>
      <c r="G2501" s="120" t="e">
        <f>VLOOKUP($B2501,Information!$C$8:$F$15,4,FALSE)</f>
        <v>#N/A</v>
      </c>
      <c r="H2501" s="210" t="str">
        <f>TEXT(A2501,"ddd")</f>
        <v>Sat</v>
      </c>
    </row>
    <row r="2502" spans="1:8" x14ac:dyDescent="0.25">
      <c r="A2502" s="13"/>
      <c r="B2502" s="14"/>
      <c r="C2502" s="39"/>
      <c r="D2502" s="39"/>
      <c r="E2502" s="36" t="str">
        <f>IF(SUM(C2502:D2502)=0," ",SUM(C2502:D2502))</f>
        <v xml:space="preserve"> </v>
      </c>
      <c r="F2502" s="14"/>
      <c r="G2502" s="120" t="e">
        <f>VLOOKUP($B2502,Information!$C$8:$F$15,4,FALSE)</f>
        <v>#N/A</v>
      </c>
      <c r="H2502" s="210" t="str">
        <f>TEXT(A2502,"ddd")</f>
        <v>Sat</v>
      </c>
    </row>
    <row r="2503" spans="1:8" x14ac:dyDescent="0.25">
      <c r="A2503" s="13"/>
      <c r="B2503" s="14"/>
      <c r="C2503" s="39"/>
      <c r="D2503" s="39"/>
      <c r="E2503" s="36" t="str">
        <f>IF(SUM(C2503:D2503)=0," ",SUM(C2503:D2503))</f>
        <v xml:space="preserve"> </v>
      </c>
      <c r="F2503" s="14"/>
      <c r="G2503" s="120" t="e">
        <f>VLOOKUP($B2503,Information!$C$8:$F$15,4,FALSE)</f>
        <v>#N/A</v>
      </c>
      <c r="H2503" s="210" t="str">
        <f>TEXT(A2503,"ddd")</f>
        <v>Sat</v>
      </c>
    </row>
    <row r="2504" spans="1:8" x14ac:dyDescent="0.25">
      <c r="A2504" s="13"/>
      <c r="B2504" s="14"/>
      <c r="C2504" s="39"/>
      <c r="D2504" s="39"/>
      <c r="E2504" s="36" t="str">
        <f>IF(SUM(C2504:D2504)=0," ",SUM(C2504:D2504))</f>
        <v xml:space="preserve"> </v>
      </c>
      <c r="F2504" s="14"/>
      <c r="G2504" s="120" t="e">
        <f>VLOOKUP($B2504,Information!$C$8:$F$15,4,FALSE)</f>
        <v>#N/A</v>
      </c>
      <c r="H2504" s="210" t="str">
        <f>TEXT(A2504,"ddd")</f>
        <v>Sat</v>
      </c>
    </row>
    <row r="2505" spans="1:8" x14ac:dyDescent="0.25">
      <c r="A2505" s="13"/>
      <c r="B2505" s="14"/>
      <c r="C2505" s="39"/>
      <c r="D2505" s="39"/>
      <c r="E2505" s="36" t="str">
        <f>IF(SUM(C2505:D2505)=0," ",SUM(C2505:D2505))</f>
        <v xml:space="preserve"> </v>
      </c>
      <c r="F2505" s="14"/>
      <c r="G2505" s="120" t="e">
        <f>VLOOKUP($B2505,Information!$C$8:$F$15,4,FALSE)</f>
        <v>#N/A</v>
      </c>
      <c r="H2505" s="210" t="str">
        <f>TEXT(A2505,"ddd")</f>
        <v>Sat</v>
      </c>
    </row>
    <row r="2506" spans="1:8" x14ac:dyDescent="0.25">
      <c r="A2506" s="13"/>
      <c r="B2506" s="14"/>
      <c r="C2506" s="39"/>
      <c r="D2506" s="39"/>
      <c r="E2506" s="36" t="str">
        <f>IF(SUM(C2506:D2506)=0," ",SUM(C2506:D2506))</f>
        <v xml:space="preserve"> </v>
      </c>
      <c r="F2506" s="14"/>
      <c r="G2506" s="120" t="e">
        <f>VLOOKUP($B2506,Information!$C$8:$F$15,4,FALSE)</f>
        <v>#N/A</v>
      </c>
      <c r="H2506" s="210" t="str">
        <f>TEXT(A2506,"ddd")</f>
        <v>Sat</v>
      </c>
    </row>
    <row r="2507" spans="1:8" x14ac:dyDescent="0.25">
      <c r="A2507" s="13"/>
      <c r="B2507" s="14"/>
      <c r="C2507" s="39"/>
      <c r="D2507" s="39"/>
      <c r="E2507" s="36" t="str">
        <f>IF(SUM(C2507:D2507)=0," ",SUM(C2507:D2507))</f>
        <v xml:space="preserve"> </v>
      </c>
      <c r="F2507" s="14"/>
      <c r="G2507" s="120" t="e">
        <f>VLOOKUP($B2507,Information!$C$8:$F$15,4,FALSE)</f>
        <v>#N/A</v>
      </c>
      <c r="H2507" s="210" t="str">
        <f>TEXT(A2507,"ddd")</f>
        <v>Sat</v>
      </c>
    </row>
    <row r="2508" spans="1:8" x14ac:dyDescent="0.25">
      <c r="A2508" s="13"/>
      <c r="B2508" s="14"/>
      <c r="C2508" s="39"/>
      <c r="D2508" s="39"/>
      <c r="E2508" s="36" t="str">
        <f>IF(SUM(C2508:D2508)=0," ",SUM(C2508:D2508))</f>
        <v xml:space="preserve"> </v>
      </c>
      <c r="F2508" s="14"/>
      <c r="G2508" s="120" t="e">
        <f>VLOOKUP($B2508,Information!$C$8:$F$15,4,FALSE)</f>
        <v>#N/A</v>
      </c>
      <c r="H2508" s="210" t="str">
        <f>TEXT(A2508,"ddd")</f>
        <v>Sat</v>
      </c>
    </row>
    <row r="2509" spans="1:8" x14ac:dyDescent="0.25">
      <c r="A2509" s="13"/>
      <c r="B2509" s="14"/>
      <c r="C2509" s="39"/>
      <c r="D2509" s="39"/>
      <c r="E2509" s="36" t="str">
        <f>IF(SUM(C2509:D2509)=0," ",SUM(C2509:D2509))</f>
        <v xml:space="preserve"> </v>
      </c>
      <c r="F2509" s="14"/>
      <c r="G2509" s="120" t="e">
        <f>VLOOKUP($B2509,Information!$C$8:$F$15,4,FALSE)</f>
        <v>#N/A</v>
      </c>
      <c r="H2509" s="210" t="str">
        <f>TEXT(A2509,"ddd")</f>
        <v>Sat</v>
      </c>
    </row>
    <row r="2510" spans="1:8" x14ac:dyDescent="0.25">
      <c r="A2510" s="13"/>
      <c r="B2510" s="14"/>
      <c r="C2510" s="39"/>
      <c r="D2510" s="39"/>
      <c r="E2510" s="36" t="str">
        <f>IF(SUM(C2510:D2510)=0," ",SUM(C2510:D2510))</f>
        <v xml:space="preserve"> </v>
      </c>
      <c r="F2510" s="14"/>
      <c r="G2510" s="120" t="e">
        <f>VLOOKUP($B2510,Information!$C$8:$F$15,4,FALSE)</f>
        <v>#N/A</v>
      </c>
      <c r="H2510" s="210" t="str">
        <f>TEXT(A2510,"ddd")</f>
        <v>Sat</v>
      </c>
    </row>
    <row r="2511" spans="1:8" x14ac:dyDescent="0.25">
      <c r="A2511" s="13"/>
      <c r="B2511" s="14"/>
      <c r="C2511" s="39"/>
      <c r="D2511" s="39"/>
      <c r="E2511" s="36" t="str">
        <f>IF(SUM(C2511:D2511)=0," ",SUM(C2511:D2511))</f>
        <v xml:space="preserve"> </v>
      </c>
      <c r="F2511" s="14"/>
      <c r="G2511" s="120" t="e">
        <f>VLOOKUP($B2511,Information!$C$8:$F$15,4,FALSE)</f>
        <v>#N/A</v>
      </c>
      <c r="H2511" s="210" t="str">
        <f>TEXT(A2511,"ddd")</f>
        <v>Sat</v>
      </c>
    </row>
    <row r="2512" spans="1:8" x14ac:dyDescent="0.25">
      <c r="A2512" s="13"/>
      <c r="B2512" s="14"/>
      <c r="C2512" s="39"/>
      <c r="D2512" s="39"/>
      <c r="E2512" s="36" t="str">
        <f>IF(SUM(C2512:D2512)=0," ",SUM(C2512:D2512))</f>
        <v xml:space="preserve"> </v>
      </c>
      <c r="F2512" s="14"/>
      <c r="G2512" s="120" t="e">
        <f>VLOOKUP($B2512,Information!$C$8:$F$15,4,FALSE)</f>
        <v>#N/A</v>
      </c>
      <c r="H2512" s="210" t="str">
        <f>TEXT(A2512,"ddd")</f>
        <v>Sat</v>
      </c>
    </row>
    <row r="2513" spans="1:8" x14ac:dyDescent="0.25">
      <c r="A2513" s="13"/>
      <c r="B2513" s="14"/>
      <c r="C2513" s="39"/>
      <c r="D2513" s="39"/>
      <c r="E2513" s="36" t="str">
        <f>IF(SUM(C2513:D2513)=0," ",SUM(C2513:D2513))</f>
        <v xml:space="preserve"> </v>
      </c>
      <c r="F2513" s="14"/>
      <c r="G2513" s="120" t="e">
        <f>VLOOKUP($B2513,Information!$C$8:$F$15,4,FALSE)</f>
        <v>#N/A</v>
      </c>
      <c r="H2513" s="210" t="str">
        <f>TEXT(A2513,"ddd")</f>
        <v>Sat</v>
      </c>
    </row>
    <row r="2514" spans="1:8" x14ac:dyDescent="0.25">
      <c r="A2514" s="13"/>
      <c r="B2514" s="14"/>
      <c r="C2514" s="39"/>
      <c r="D2514" s="39"/>
      <c r="E2514" s="36" t="str">
        <f>IF(SUM(C2514:D2514)=0," ",SUM(C2514:D2514))</f>
        <v xml:space="preserve"> </v>
      </c>
      <c r="F2514" s="14"/>
      <c r="G2514" s="120" t="e">
        <f>VLOOKUP($B2514,Information!$C$8:$F$15,4,FALSE)</f>
        <v>#N/A</v>
      </c>
      <c r="H2514" s="210" t="str">
        <f>TEXT(A2514,"ddd")</f>
        <v>Sat</v>
      </c>
    </row>
    <row r="2515" spans="1:8" x14ac:dyDescent="0.25">
      <c r="A2515" s="13"/>
      <c r="B2515" s="14"/>
      <c r="C2515" s="39"/>
      <c r="D2515" s="39"/>
      <c r="E2515" s="36" t="str">
        <f>IF(SUM(C2515:D2515)=0," ",SUM(C2515:D2515))</f>
        <v xml:space="preserve"> </v>
      </c>
      <c r="F2515" s="14"/>
      <c r="G2515" s="120" t="e">
        <f>VLOOKUP($B2515,Information!$C$8:$F$15,4,FALSE)</f>
        <v>#N/A</v>
      </c>
      <c r="H2515" s="210" t="str">
        <f>TEXT(A2515,"ddd")</f>
        <v>Sat</v>
      </c>
    </row>
    <row r="2516" spans="1:8" x14ac:dyDescent="0.25">
      <c r="A2516" s="13"/>
      <c r="B2516" s="14"/>
      <c r="C2516" s="39"/>
      <c r="D2516" s="39"/>
      <c r="E2516" s="36" t="str">
        <f>IF(SUM(C2516:D2516)=0," ",SUM(C2516:D2516))</f>
        <v xml:space="preserve"> </v>
      </c>
      <c r="F2516" s="14"/>
      <c r="G2516" s="120" t="e">
        <f>VLOOKUP($B2516,Information!$C$8:$F$15,4,FALSE)</f>
        <v>#N/A</v>
      </c>
      <c r="H2516" s="210" t="str">
        <f>TEXT(A2516,"ddd")</f>
        <v>Sat</v>
      </c>
    </row>
    <row r="2517" spans="1:8" x14ac:dyDescent="0.25">
      <c r="A2517" s="13"/>
      <c r="B2517" s="14"/>
      <c r="C2517" s="39"/>
      <c r="D2517" s="39"/>
      <c r="E2517" s="36" t="str">
        <f>IF(SUM(C2517:D2517)=0," ",SUM(C2517:D2517))</f>
        <v xml:space="preserve"> </v>
      </c>
      <c r="F2517" s="14"/>
      <c r="G2517" s="120" t="e">
        <f>VLOOKUP($B2517,Information!$C$8:$F$15,4,FALSE)</f>
        <v>#N/A</v>
      </c>
      <c r="H2517" s="210" t="str">
        <f>TEXT(A2517,"ddd")</f>
        <v>Sat</v>
      </c>
    </row>
    <row r="2518" spans="1:8" x14ac:dyDescent="0.25">
      <c r="A2518" s="13"/>
      <c r="B2518" s="14"/>
      <c r="C2518" s="39"/>
      <c r="D2518" s="39"/>
      <c r="E2518" s="36" t="str">
        <f>IF(SUM(C2518:D2518)=0," ",SUM(C2518:D2518))</f>
        <v xml:space="preserve"> </v>
      </c>
      <c r="F2518" s="14"/>
      <c r="G2518" s="120" t="e">
        <f>VLOOKUP($B2518,Information!$C$8:$F$15,4,FALSE)</f>
        <v>#N/A</v>
      </c>
      <c r="H2518" s="210" t="str">
        <f>TEXT(A2518,"ddd")</f>
        <v>Sat</v>
      </c>
    </row>
    <row r="2519" spans="1:8" x14ac:dyDescent="0.25">
      <c r="A2519" s="13"/>
      <c r="B2519" s="14"/>
      <c r="C2519" s="39"/>
      <c r="D2519" s="39"/>
      <c r="E2519" s="36" t="str">
        <f>IF(SUM(C2519:D2519)=0," ",SUM(C2519:D2519))</f>
        <v xml:space="preserve"> </v>
      </c>
      <c r="F2519" s="14"/>
      <c r="G2519" s="120" t="e">
        <f>VLOOKUP($B2519,Information!$C$8:$F$15,4,FALSE)</f>
        <v>#N/A</v>
      </c>
      <c r="H2519" s="210" t="str">
        <f>TEXT(A2519,"ddd")</f>
        <v>Sat</v>
      </c>
    </row>
    <row r="2520" spans="1:8" x14ac:dyDescent="0.25">
      <c r="A2520" s="13"/>
      <c r="B2520" s="14"/>
      <c r="C2520" s="39"/>
      <c r="D2520" s="39"/>
      <c r="E2520" s="36" t="str">
        <f>IF(SUM(C2520:D2520)=0," ",SUM(C2520:D2520))</f>
        <v xml:space="preserve"> </v>
      </c>
      <c r="F2520" s="14"/>
      <c r="G2520" s="120" t="e">
        <f>VLOOKUP($B2520,Information!$C$8:$F$15,4,FALSE)</f>
        <v>#N/A</v>
      </c>
      <c r="H2520" s="210" t="str">
        <f>TEXT(A2520,"ddd")</f>
        <v>Sat</v>
      </c>
    </row>
    <row r="2521" spans="1:8" x14ac:dyDescent="0.25">
      <c r="A2521" s="13"/>
      <c r="B2521" s="14"/>
      <c r="C2521" s="39"/>
      <c r="D2521" s="39"/>
      <c r="E2521" s="36" t="str">
        <f>IF(SUM(C2521:D2521)=0," ",SUM(C2521:D2521))</f>
        <v xml:space="preserve"> </v>
      </c>
      <c r="F2521" s="14"/>
      <c r="G2521" s="120" t="e">
        <f>VLOOKUP($B2521,Information!$C$8:$F$15,4,FALSE)</f>
        <v>#N/A</v>
      </c>
      <c r="H2521" s="210" t="str">
        <f>TEXT(A2521,"ddd")</f>
        <v>Sat</v>
      </c>
    </row>
    <row r="2522" spans="1:8" x14ac:dyDescent="0.25">
      <c r="A2522" s="13"/>
      <c r="B2522" s="14"/>
      <c r="C2522" s="39"/>
      <c r="D2522" s="39"/>
      <c r="E2522" s="36" t="str">
        <f>IF(SUM(C2522:D2522)=0," ",SUM(C2522:D2522))</f>
        <v xml:space="preserve"> </v>
      </c>
      <c r="F2522" s="14"/>
      <c r="G2522" s="120" t="e">
        <f>VLOOKUP($B2522,Information!$C$8:$F$15,4,FALSE)</f>
        <v>#N/A</v>
      </c>
      <c r="H2522" s="210" t="str">
        <f>TEXT(A2522,"ddd")</f>
        <v>Sat</v>
      </c>
    </row>
    <row r="2523" spans="1:8" x14ac:dyDescent="0.25">
      <c r="A2523" s="13"/>
      <c r="B2523" s="14"/>
      <c r="C2523" s="39"/>
      <c r="D2523" s="39"/>
      <c r="E2523" s="36" t="str">
        <f>IF(SUM(C2523:D2523)=0," ",SUM(C2523:D2523))</f>
        <v xml:space="preserve"> </v>
      </c>
      <c r="F2523" s="14"/>
      <c r="G2523" s="120" t="e">
        <f>VLOOKUP($B2523,Information!$C$8:$F$15,4,FALSE)</f>
        <v>#N/A</v>
      </c>
      <c r="H2523" s="210" t="str">
        <f>TEXT(A2523,"ddd")</f>
        <v>Sat</v>
      </c>
    </row>
    <row r="2524" spans="1:8" x14ac:dyDescent="0.25">
      <c r="A2524" s="13"/>
      <c r="B2524" s="14"/>
      <c r="C2524" s="39"/>
      <c r="D2524" s="39"/>
      <c r="E2524" s="36" t="str">
        <f>IF(SUM(C2524:D2524)=0," ",SUM(C2524:D2524))</f>
        <v xml:space="preserve"> </v>
      </c>
      <c r="F2524" s="14"/>
      <c r="G2524" s="120" t="e">
        <f>VLOOKUP($B2524,Information!$C$8:$F$15,4,FALSE)</f>
        <v>#N/A</v>
      </c>
      <c r="H2524" s="210" t="str">
        <f>TEXT(A2524,"ddd")</f>
        <v>Sat</v>
      </c>
    </row>
    <row r="2525" spans="1:8" x14ac:dyDescent="0.25">
      <c r="A2525" s="13"/>
      <c r="B2525" s="14"/>
      <c r="C2525" s="39"/>
      <c r="D2525" s="39"/>
      <c r="E2525" s="36" t="str">
        <f>IF(SUM(C2525:D2525)=0," ",SUM(C2525:D2525))</f>
        <v xml:space="preserve"> </v>
      </c>
      <c r="F2525" s="14"/>
      <c r="G2525" s="120" t="e">
        <f>VLOOKUP($B2525,Information!$C$8:$F$15,4,FALSE)</f>
        <v>#N/A</v>
      </c>
      <c r="H2525" s="210" t="str">
        <f>TEXT(A2525,"ddd")</f>
        <v>Sat</v>
      </c>
    </row>
    <row r="2526" spans="1:8" x14ac:dyDescent="0.25">
      <c r="A2526" s="13"/>
      <c r="B2526" s="14"/>
      <c r="C2526" s="39"/>
      <c r="D2526" s="39"/>
      <c r="E2526" s="36" t="str">
        <f>IF(SUM(C2526:D2526)=0," ",SUM(C2526:D2526))</f>
        <v xml:space="preserve"> </v>
      </c>
      <c r="F2526" s="14"/>
      <c r="G2526" s="120" t="e">
        <f>VLOOKUP($B2526,Information!$C$8:$F$15,4,FALSE)</f>
        <v>#N/A</v>
      </c>
      <c r="H2526" s="210" t="str">
        <f>TEXT(A2526,"ddd")</f>
        <v>Sat</v>
      </c>
    </row>
    <row r="2527" spans="1:8" x14ac:dyDescent="0.25">
      <c r="A2527" s="13"/>
      <c r="B2527" s="14"/>
      <c r="C2527" s="39"/>
      <c r="D2527" s="39"/>
      <c r="E2527" s="36" t="str">
        <f>IF(SUM(C2527:D2527)=0," ",SUM(C2527:D2527))</f>
        <v xml:space="preserve"> </v>
      </c>
      <c r="F2527" s="14"/>
      <c r="G2527" s="120" t="e">
        <f>VLOOKUP($B2527,Information!$C$8:$F$15,4,FALSE)</f>
        <v>#N/A</v>
      </c>
      <c r="H2527" s="210" t="str">
        <f>TEXT(A2527,"ddd")</f>
        <v>Sat</v>
      </c>
    </row>
    <row r="2528" spans="1:8" x14ac:dyDescent="0.25">
      <c r="A2528" s="13"/>
      <c r="B2528" s="14"/>
      <c r="C2528" s="39"/>
      <c r="D2528" s="39"/>
      <c r="E2528" s="36" t="str">
        <f>IF(SUM(C2528:D2528)=0," ",SUM(C2528:D2528))</f>
        <v xml:space="preserve"> </v>
      </c>
      <c r="F2528" s="14"/>
      <c r="G2528" s="120" t="e">
        <f>VLOOKUP($B2528,Information!$C$8:$F$15,4,FALSE)</f>
        <v>#N/A</v>
      </c>
      <c r="H2528" s="210" t="str">
        <f>TEXT(A2528,"ddd")</f>
        <v>Sat</v>
      </c>
    </row>
    <row r="2529" spans="1:8" x14ac:dyDescent="0.25">
      <c r="A2529" s="13"/>
      <c r="B2529" s="14"/>
      <c r="C2529" s="39"/>
      <c r="D2529" s="39"/>
      <c r="E2529" s="36" t="str">
        <f>IF(SUM(C2529:D2529)=0," ",SUM(C2529:D2529))</f>
        <v xml:space="preserve"> </v>
      </c>
      <c r="F2529" s="14"/>
      <c r="G2529" s="120" t="e">
        <f>VLOOKUP($B2529,Information!$C$8:$F$15,4,FALSE)</f>
        <v>#N/A</v>
      </c>
      <c r="H2529" s="210" t="str">
        <f>TEXT(A2529,"ddd")</f>
        <v>Sat</v>
      </c>
    </row>
    <row r="2530" spans="1:8" x14ac:dyDescent="0.25">
      <c r="A2530" s="13"/>
      <c r="B2530" s="14"/>
      <c r="C2530" s="39"/>
      <c r="D2530" s="39"/>
      <c r="E2530" s="36" t="str">
        <f>IF(SUM(C2530:D2530)=0," ",SUM(C2530:D2530))</f>
        <v xml:space="preserve"> </v>
      </c>
      <c r="F2530" s="14"/>
      <c r="G2530" s="120" t="e">
        <f>VLOOKUP($B2530,Information!$C$8:$F$15,4,FALSE)</f>
        <v>#N/A</v>
      </c>
      <c r="H2530" s="210" t="str">
        <f>TEXT(A2530,"ddd")</f>
        <v>Sat</v>
      </c>
    </row>
    <row r="2531" spans="1:8" x14ac:dyDescent="0.25">
      <c r="A2531" s="13"/>
      <c r="B2531" s="14"/>
      <c r="C2531" s="39"/>
      <c r="D2531" s="39"/>
      <c r="E2531" s="36" t="str">
        <f>IF(SUM(C2531:D2531)=0," ",SUM(C2531:D2531))</f>
        <v xml:space="preserve"> </v>
      </c>
      <c r="F2531" s="14"/>
      <c r="G2531" s="120" t="e">
        <f>VLOOKUP($B2531,Information!$C$8:$F$15,4,FALSE)</f>
        <v>#N/A</v>
      </c>
      <c r="H2531" s="210" t="str">
        <f>TEXT(A2531,"ddd")</f>
        <v>Sat</v>
      </c>
    </row>
    <row r="2532" spans="1:8" x14ac:dyDescent="0.25">
      <c r="A2532" s="13"/>
      <c r="B2532" s="14"/>
      <c r="C2532" s="39"/>
      <c r="D2532" s="39"/>
      <c r="E2532" s="36" t="str">
        <f>IF(SUM(C2532:D2532)=0," ",SUM(C2532:D2532))</f>
        <v xml:space="preserve"> </v>
      </c>
      <c r="F2532" s="14"/>
      <c r="G2532" s="120" t="e">
        <f>VLOOKUP($B2532,Information!$C$8:$F$15,4,FALSE)</f>
        <v>#N/A</v>
      </c>
      <c r="H2532" s="210" t="str">
        <f>TEXT(A2532,"ddd")</f>
        <v>Sat</v>
      </c>
    </row>
    <row r="2533" spans="1:8" x14ac:dyDescent="0.25">
      <c r="A2533" s="13"/>
      <c r="B2533" s="14"/>
      <c r="C2533" s="39"/>
      <c r="D2533" s="39"/>
      <c r="E2533" s="36" t="str">
        <f>IF(SUM(C2533:D2533)=0," ",SUM(C2533:D2533))</f>
        <v xml:space="preserve"> </v>
      </c>
      <c r="F2533" s="14"/>
      <c r="G2533" s="120" t="e">
        <f>VLOOKUP($B2533,Information!$C$8:$F$15,4,FALSE)</f>
        <v>#N/A</v>
      </c>
      <c r="H2533" s="210" t="str">
        <f>TEXT(A2533,"ddd")</f>
        <v>Sat</v>
      </c>
    </row>
    <row r="2534" spans="1:8" x14ac:dyDescent="0.25">
      <c r="A2534" s="13"/>
      <c r="B2534" s="14"/>
      <c r="C2534" s="39"/>
      <c r="D2534" s="39"/>
      <c r="E2534" s="36" t="str">
        <f>IF(SUM(C2534:D2534)=0," ",SUM(C2534:D2534))</f>
        <v xml:space="preserve"> </v>
      </c>
      <c r="F2534" s="14"/>
      <c r="G2534" s="120" t="e">
        <f>VLOOKUP($B2534,Information!$C$8:$F$15,4,FALSE)</f>
        <v>#N/A</v>
      </c>
      <c r="H2534" s="210" t="str">
        <f>TEXT(A2534,"ddd")</f>
        <v>Sat</v>
      </c>
    </row>
    <row r="2535" spans="1:8" x14ac:dyDescent="0.25">
      <c r="A2535" s="13"/>
      <c r="B2535" s="14"/>
      <c r="C2535" s="39"/>
      <c r="D2535" s="39"/>
      <c r="E2535" s="36" t="str">
        <f>IF(SUM(C2535:D2535)=0," ",SUM(C2535:D2535))</f>
        <v xml:space="preserve"> </v>
      </c>
      <c r="F2535" s="14"/>
      <c r="G2535" s="120" t="e">
        <f>VLOOKUP($B2535,Information!$C$8:$F$15,4,FALSE)</f>
        <v>#N/A</v>
      </c>
      <c r="H2535" s="210" t="str">
        <f>TEXT(A2535,"ddd")</f>
        <v>Sat</v>
      </c>
    </row>
    <row r="2536" spans="1:8" x14ac:dyDescent="0.25">
      <c r="A2536" s="13"/>
      <c r="B2536" s="14"/>
      <c r="C2536" s="39"/>
      <c r="D2536" s="39"/>
      <c r="E2536" s="36" t="str">
        <f>IF(SUM(C2536:D2536)=0," ",SUM(C2536:D2536))</f>
        <v xml:space="preserve"> </v>
      </c>
      <c r="F2536" s="14"/>
      <c r="G2536" s="120" t="e">
        <f>VLOOKUP($B2536,Information!$C$8:$F$15,4,FALSE)</f>
        <v>#N/A</v>
      </c>
      <c r="H2536" s="210" t="str">
        <f>TEXT(A2536,"ddd")</f>
        <v>Sat</v>
      </c>
    </row>
    <row r="2537" spans="1:8" x14ac:dyDescent="0.25">
      <c r="A2537" s="13"/>
      <c r="B2537" s="14"/>
      <c r="C2537" s="39"/>
      <c r="D2537" s="39"/>
      <c r="E2537" s="36" t="str">
        <f>IF(SUM(C2537:D2537)=0," ",SUM(C2537:D2537))</f>
        <v xml:space="preserve"> </v>
      </c>
      <c r="F2537" s="14"/>
      <c r="G2537" s="120" t="e">
        <f>VLOOKUP($B2537,Information!$C$8:$F$15,4,FALSE)</f>
        <v>#N/A</v>
      </c>
      <c r="H2537" s="210" t="str">
        <f>TEXT(A2537,"ddd")</f>
        <v>Sat</v>
      </c>
    </row>
    <row r="2538" spans="1:8" x14ac:dyDescent="0.25">
      <c r="A2538" s="13"/>
      <c r="B2538" s="14"/>
      <c r="C2538" s="39"/>
      <c r="D2538" s="39"/>
      <c r="E2538" s="36" t="str">
        <f>IF(SUM(C2538:D2538)=0," ",SUM(C2538:D2538))</f>
        <v xml:space="preserve"> </v>
      </c>
      <c r="F2538" s="14"/>
      <c r="G2538" s="120" t="e">
        <f>VLOOKUP($B2538,Information!$C$8:$F$15,4,FALSE)</f>
        <v>#N/A</v>
      </c>
      <c r="H2538" s="210" t="str">
        <f>TEXT(A2538,"ddd")</f>
        <v>Sat</v>
      </c>
    </row>
    <row r="2539" spans="1:8" x14ac:dyDescent="0.25">
      <c r="A2539" s="13"/>
      <c r="B2539" s="14"/>
      <c r="C2539" s="39"/>
      <c r="D2539" s="39"/>
      <c r="E2539" s="36" t="str">
        <f>IF(SUM(C2539:D2539)=0," ",SUM(C2539:D2539))</f>
        <v xml:space="preserve"> </v>
      </c>
      <c r="F2539" s="14"/>
      <c r="G2539" s="120" t="e">
        <f>VLOOKUP($B2539,Information!$C$8:$F$15,4,FALSE)</f>
        <v>#N/A</v>
      </c>
      <c r="H2539" s="210" t="str">
        <f>TEXT(A2539,"ddd")</f>
        <v>Sat</v>
      </c>
    </row>
    <row r="2540" spans="1:8" x14ac:dyDescent="0.25">
      <c r="A2540" s="13"/>
      <c r="B2540" s="14"/>
      <c r="C2540" s="39"/>
      <c r="D2540" s="39"/>
      <c r="E2540" s="36" t="str">
        <f>IF(SUM(C2540:D2540)=0," ",SUM(C2540:D2540))</f>
        <v xml:space="preserve"> </v>
      </c>
      <c r="F2540" s="14"/>
      <c r="G2540" s="120" t="e">
        <f>VLOOKUP($B2540,Information!$C$8:$F$15,4,FALSE)</f>
        <v>#N/A</v>
      </c>
      <c r="H2540" s="210" t="str">
        <f>TEXT(A2540,"ddd")</f>
        <v>Sat</v>
      </c>
    </row>
    <row r="2541" spans="1:8" x14ac:dyDescent="0.25">
      <c r="A2541" s="13"/>
      <c r="B2541" s="14"/>
      <c r="C2541" s="39"/>
      <c r="D2541" s="39"/>
      <c r="E2541" s="36" t="str">
        <f>IF(SUM(C2541:D2541)=0," ",SUM(C2541:D2541))</f>
        <v xml:space="preserve"> </v>
      </c>
      <c r="F2541" s="14"/>
      <c r="G2541" s="120" t="e">
        <f>VLOOKUP($B2541,Information!$C$8:$F$15,4,FALSE)</f>
        <v>#N/A</v>
      </c>
      <c r="H2541" s="210" t="str">
        <f>TEXT(A2541,"ddd")</f>
        <v>Sat</v>
      </c>
    </row>
    <row r="2542" spans="1:8" x14ac:dyDescent="0.25">
      <c r="A2542" s="13"/>
      <c r="B2542" s="14"/>
      <c r="C2542" s="39"/>
      <c r="D2542" s="39"/>
      <c r="E2542" s="36" t="str">
        <f>IF(SUM(C2542:D2542)=0," ",SUM(C2542:D2542))</f>
        <v xml:space="preserve"> </v>
      </c>
      <c r="F2542" s="14"/>
      <c r="G2542" s="120" t="e">
        <f>VLOOKUP($B2542,Information!$C$8:$F$15,4,FALSE)</f>
        <v>#N/A</v>
      </c>
      <c r="H2542" s="210" t="str">
        <f>TEXT(A2542,"ddd")</f>
        <v>Sat</v>
      </c>
    </row>
    <row r="2543" spans="1:8" x14ac:dyDescent="0.25">
      <c r="A2543" s="13"/>
      <c r="B2543" s="14"/>
      <c r="C2543" s="39"/>
      <c r="D2543" s="39"/>
      <c r="E2543" s="36" t="str">
        <f>IF(SUM(C2543:D2543)=0," ",SUM(C2543:D2543))</f>
        <v xml:space="preserve"> </v>
      </c>
      <c r="F2543" s="14"/>
      <c r="G2543" s="120" t="e">
        <f>VLOOKUP($B2543,Information!$C$8:$F$15,4,FALSE)</f>
        <v>#N/A</v>
      </c>
      <c r="H2543" s="210" t="str">
        <f>TEXT(A2543,"ddd")</f>
        <v>Sat</v>
      </c>
    </row>
    <row r="2544" spans="1:8" x14ac:dyDescent="0.25">
      <c r="A2544" s="13"/>
      <c r="B2544" s="14"/>
      <c r="C2544" s="39"/>
      <c r="D2544" s="39"/>
      <c r="E2544" s="36" t="str">
        <f>IF(SUM(C2544:D2544)=0," ",SUM(C2544:D2544))</f>
        <v xml:space="preserve"> </v>
      </c>
      <c r="F2544" s="14"/>
      <c r="G2544" s="120" t="e">
        <f>VLOOKUP($B2544,Information!$C$8:$F$15,4,FALSE)</f>
        <v>#N/A</v>
      </c>
      <c r="H2544" s="210" t="str">
        <f>TEXT(A2544,"ddd")</f>
        <v>Sat</v>
      </c>
    </row>
    <row r="2545" spans="1:8" x14ac:dyDescent="0.25">
      <c r="A2545" s="13"/>
      <c r="B2545" s="14"/>
      <c r="C2545" s="39"/>
      <c r="D2545" s="39"/>
      <c r="E2545" s="36" t="str">
        <f>IF(SUM(C2545:D2545)=0," ",SUM(C2545:D2545))</f>
        <v xml:space="preserve"> </v>
      </c>
      <c r="F2545" s="14"/>
      <c r="G2545" s="120" t="e">
        <f>VLOOKUP($B2545,Information!$C$8:$F$15,4,FALSE)</f>
        <v>#N/A</v>
      </c>
      <c r="H2545" s="210" t="str">
        <f>TEXT(A2545,"ddd")</f>
        <v>Sat</v>
      </c>
    </row>
    <row r="2546" spans="1:8" x14ac:dyDescent="0.25">
      <c r="A2546" s="13"/>
      <c r="B2546" s="14"/>
      <c r="C2546" s="39"/>
      <c r="D2546" s="39"/>
      <c r="E2546" s="36" t="str">
        <f>IF(SUM(C2546:D2546)=0," ",SUM(C2546:D2546))</f>
        <v xml:space="preserve"> </v>
      </c>
      <c r="F2546" s="14"/>
      <c r="G2546" s="120" t="e">
        <f>VLOOKUP($B2546,Information!$C$8:$F$15,4,FALSE)</f>
        <v>#N/A</v>
      </c>
      <c r="H2546" s="210" t="str">
        <f>TEXT(A2546,"ddd")</f>
        <v>Sat</v>
      </c>
    </row>
    <row r="2547" spans="1:8" x14ac:dyDescent="0.25">
      <c r="A2547" s="13"/>
      <c r="B2547" s="14"/>
      <c r="C2547" s="39"/>
      <c r="D2547" s="39"/>
      <c r="E2547" s="36" t="str">
        <f>IF(SUM(C2547:D2547)=0," ",SUM(C2547:D2547))</f>
        <v xml:space="preserve"> </v>
      </c>
      <c r="F2547" s="14"/>
      <c r="G2547" s="120" t="e">
        <f>VLOOKUP($B2547,Information!$C$8:$F$15,4,FALSE)</f>
        <v>#N/A</v>
      </c>
      <c r="H2547" s="210" t="str">
        <f>TEXT(A2547,"ddd")</f>
        <v>Sat</v>
      </c>
    </row>
    <row r="2548" spans="1:8" x14ac:dyDescent="0.25">
      <c r="A2548" s="13"/>
      <c r="B2548" s="14"/>
      <c r="C2548" s="39"/>
      <c r="D2548" s="39"/>
      <c r="E2548" s="36" t="str">
        <f>IF(SUM(C2548:D2548)=0," ",SUM(C2548:D2548))</f>
        <v xml:space="preserve"> </v>
      </c>
      <c r="F2548" s="14"/>
      <c r="G2548" s="120" t="e">
        <f>VLOOKUP($B2548,Information!$C$8:$F$15,4,FALSE)</f>
        <v>#N/A</v>
      </c>
      <c r="H2548" s="210" t="str">
        <f>TEXT(A2548,"ddd")</f>
        <v>Sat</v>
      </c>
    </row>
    <row r="2549" spans="1:8" x14ac:dyDescent="0.25">
      <c r="A2549" s="13"/>
      <c r="B2549" s="14"/>
      <c r="C2549" s="39"/>
      <c r="D2549" s="39"/>
      <c r="E2549" s="36" t="str">
        <f>IF(SUM(C2549:D2549)=0," ",SUM(C2549:D2549))</f>
        <v xml:space="preserve"> </v>
      </c>
      <c r="F2549" s="14"/>
      <c r="G2549" s="120" t="e">
        <f>VLOOKUP($B2549,Information!$C$8:$F$15,4,FALSE)</f>
        <v>#N/A</v>
      </c>
      <c r="H2549" s="210" t="str">
        <f>TEXT(A2549,"ddd")</f>
        <v>Sat</v>
      </c>
    </row>
    <row r="2550" spans="1:8" x14ac:dyDescent="0.25">
      <c r="A2550" s="13"/>
      <c r="B2550" s="14"/>
      <c r="C2550" s="39"/>
      <c r="D2550" s="39"/>
      <c r="E2550" s="36" t="str">
        <f>IF(SUM(C2550:D2550)=0," ",SUM(C2550:D2550))</f>
        <v xml:space="preserve"> </v>
      </c>
      <c r="F2550" s="14"/>
      <c r="G2550" s="120" t="e">
        <f>VLOOKUP($B2550,Information!$C$8:$F$15,4,FALSE)</f>
        <v>#N/A</v>
      </c>
      <c r="H2550" s="210" t="str">
        <f>TEXT(A2550,"ddd")</f>
        <v>Sat</v>
      </c>
    </row>
    <row r="2551" spans="1:8" x14ac:dyDescent="0.25">
      <c r="A2551" s="13"/>
      <c r="B2551" s="14"/>
      <c r="C2551" s="39"/>
      <c r="D2551" s="39"/>
      <c r="E2551" s="36" t="str">
        <f>IF(SUM(C2551:D2551)=0," ",SUM(C2551:D2551))</f>
        <v xml:space="preserve"> </v>
      </c>
      <c r="F2551" s="14"/>
      <c r="G2551" s="120" t="e">
        <f>VLOOKUP($B2551,Information!$C$8:$F$15,4,FALSE)</f>
        <v>#N/A</v>
      </c>
      <c r="H2551" s="210" t="str">
        <f>TEXT(A2551,"ddd")</f>
        <v>Sat</v>
      </c>
    </row>
    <row r="2552" spans="1:8" x14ac:dyDescent="0.25">
      <c r="A2552" s="13"/>
      <c r="B2552" s="14"/>
      <c r="C2552" s="39"/>
      <c r="D2552" s="39"/>
      <c r="E2552" s="36" t="str">
        <f>IF(SUM(C2552:D2552)=0," ",SUM(C2552:D2552))</f>
        <v xml:space="preserve"> </v>
      </c>
      <c r="F2552" s="14"/>
      <c r="G2552" s="120" t="e">
        <f>VLOOKUP($B2552,Information!$C$8:$F$15,4,FALSE)</f>
        <v>#N/A</v>
      </c>
      <c r="H2552" s="210" t="str">
        <f>TEXT(A2552,"ddd")</f>
        <v>Sat</v>
      </c>
    </row>
    <row r="2553" spans="1:8" x14ac:dyDescent="0.25">
      <c r="A2553" s="13"/>
      <c r="B2553" s="14"/>
      <c r="C2553" s="39"/>
      <c r="D2553" s="39"/>
      <c r="E2553" s="36" t="str">
        <f>IF(SUM(C2553:D2553)=0," ",SUM(C2553:D2553))</f>
        <v xml:space="preserve"> </v>
      </c>
      <c r="F2553" s="14"/>
      <c r="G2553" s="120" t="e">
        <f>VLOOKUP($B2553,Information!$C$8:$F$15,4,FALSE)</f>
        <v>#N/A</v>
      </c>
      <c r="H2553" s="210" t="str">
        <f>TEXT(A2553,"ddd")</f>
        <v>Sat</v>
      </c>
    </row>
    <row r="2554" spans="1:8" x14ac:dyDescent="0.25">
      <c r="A2554" s="13"/>
      <c r="B2554" s="14"/>
      <c r="C2554" s="39"/>
      <c r="D2554" s="39"/>
      <c r="E2554" s="36" t="str">
        <f>IF(SUM(C2554:D2554)=0," ",SUM(C2554:D2554))</f>
        <v xml:space="preserve"> </v>
      </c>
      <c r="F2554" s="14"/>
      <c r="G2554" s="120" t="e">
        <f>VLOOKUP($B2554,Information!$C$8:$F$15,4,FALSE)</f>
        <v>#N/A</v>
      </c>
      <c r="H2554" s="210" t="str">
        <f>TEXT(A2554,"ddd")</f>
        <v>Sat</v>
      </c>
    </row>
    <row r="2555" spans="1:8" x14ac:dyDescent="0.25">
      <c r="A2555" s="13"/>
      <c r="B2555" s="14"/>
      <c r="C2555" s="39"/>
      <c r="D2555" s="39"/>
      <c r="E2555" s="36" t="str">
        <f>IF(SUM(C2555:D2555)=0," ",SUM(C2555:D2555))</f>
        <v xml:space="preserve"> </v>
      </c>
      <c r="F2555" s="14"/>
      <c r="G2555" s="120" t="e">
        <f>VLOOKUP($B2555,Information!$C$8:$F$15,4,FALSE)</f>
        <v>#N/A</v>
      </c>
      <c r="H2555" s="210" t="str">
        <f>TEXT(A2555,"ddd")</f>
        <v>Sat</v>
      </c>
    </row>
    <row r="2556" spans="1:8" x14ac:dyDescent="0.25">
      <c r="A2556" s="13"/>
      <c r="B2556" s="14"/>
      <c r="C2556" s="39"/>
      <c r="D2556" s="39"/>
      <c r="E2556" s="36" t="str">
        <f>IF(SUM(C2556:D2556)=0," ",SUM(C2556:D2556))</f>
        <v xml:space="preserve"> </v>
      </c>
      <c r="F2556" s="14"/>
      <c r="G2556" s="120" t="e">
        <f>VLOOKUP($B2556,Information!$C$8:$F$15,4,FALSE)</f>
        <v>#N/A</v>
      </c>
      <c r="H2556" s="210" t="str">
        <f>TEXT(A2556,"ddd")</f>
        <v>Sat</v>
      </c>
    </row>
    <row r="2557" spans="1:8" x14ac:dyDescent="0.25">
      <c r="A2557" s="13"/>
      <c r="B2557" s="14"/>
      <c r="C2557" s="39"/>
      <c r="D2557" s="39"/>
      <c r="E2557" s="36" t="str">
        <f>IF(SUM(C2557:D2557)=0," ",SUM(C2557:D2557))</f>
        <v xml:space="preserve"> </v>
      </c>
      <c r="F2557" s="14"/>
      <c r="G2557" s="120" t="e">
        <f>VLOOKUP($B2557,Information!$C$8:$F$15,4,FALSE)</f>
        <v>#N/A</v>
      </c>
      <c r="H2557" s="210" t="str">
        <f>TEXT(A2557,"ddd")</f>
        <v>Sat</v>
      </c>
    </row>
    <row r="2558" spans="1:8" x14ac:dyDescent="0.25">
      <c r="A2558" s="13"/>
      <c r="B2558" s="14"/>
      <c r="C2558" s="39"/>
      <c r="D2558" s="39"/>
      <c r="E2558" s="36" t="str">
        <f>IF(SUM(C2558:D2558)=0," ",SUM(C2558:D2558))</f>
        <v xml:space="preserve"> </v>
      </c>
      <c r="F2558" s="14"/>
      <c r="G2558" s="120" t="e">
        <f>VLOOKUP($B2558,Information!$C$8:$F$15,4,FALSE)</f>
        <v>#N/A</v>
      </c>
      <c r="H2558" s="210" t="str">
        <f>TEXT(A2558,"ddd")</f>
        <v>Sat</v>
      </c>
    </row>
    <row r="2559" spans="1:8" x14ac:dyDescent="0.25">
      <c r="A2559" s="13"/>
      <c r="B2559" s="14"/>
      <c r="C2559" s="39"/>
      <c r="D2559" s="39"/>
      <c r="E2559" s="36" t="str">
        <f>IF(SUM(C2559:D2559)=0," ",SUM(C2559:D2559))</f>
        <v xml:space="preserve"> </v>
      </c>
      <c r="F2559" s="14"/>
      <c r="G2559" s="120" t="e">
        <f>VLOOKUP($B2559,Information!$C$8:$F$15,4,FALSE)</f>
        <v>#N/A</v>
      </c>
      <c r="H2559" s="210" t="str">
        <f>TEXT(A2559,"ddd")</f>
        <v>Sat</v>
      </c>
    </row>
    <row r="2560" spans="1:8" x14ac:dyDescent="0.25">
      <c r="A2560" s="13"/>
      <c r="B2560" s="14"/>
      <c r="C2560" s="39"/>
      <c r="D2560" s="39"/>
      <c r="E2560" s="36" t="str">
        <f>IF(SUM(C2560:D2560)=0," ",SUM(C2560:D2560))</f>
        <v xml:space="preserve"> </v>
      </c>
      <c r="F2560" s="14"/>
      <c r="G2560" s="120" t="e">
        <f>VLOOKUP($B2560,Information!$C$8:$F$15,4,FALSE)</f>
        <v>#N/A</v>
      </c>
      <c r="H2560" s="210" t="str">
        <f>TEXT(A2560,"ddd")</f>
        <v>Sat</v>
      </c>
    </row>
    <row r="2561" spans="1:8" x14ac:dyDescent="0.25">
      <c r="A2561" s="13"/>
      <c r="B2561" s="14"/>
      <c r="C2561" s="39"/>
      <c r="D2561" s="39"/>
      <c r="E2561" s="36" t="str">
        <f>IF(SUM(C2561:D2561)=0," ",SUM(C2561:D2561))</f>
        <v xml:space="preserve"> </v>
      </c>
      <c r="F2561" s="14"/>
      <c r="G2561" s="120" t="e">
        <f>VLOOKUP($B2561,Information!$C$8:$F$15,4,FALSE)</f>
        <v>#N/A</v>
      </c>
      <c r="H2561" s="210" t="str">
        <f>TEXT(A2561,"ddd")</f>
        <v>Sat</v>
      </c>
    </row>
    <row r="2562" spans="1:8" x14ac:dyDescent="0.25">
      <c r="A2562" s="13"/>
      <c r="B2562" s="14"/>
      <c r="C2562" s="39"/>
      <c r="D2562" s="39"/>
      <c r="E2562" s="36" t="str">
        <f>IF(SUM(C2562:D2562)=0," ",SUM(C2562:D2562))</f>
        <v xml:space="preserve"> </v>
      </c>
      <c r="F2562" s="14"/>
      <c r="G2562" s="120" t="e">
        <f>VLOOKUP($B2562,Information!$C$8:$F$15,4,FALSE)</f>
        <v>#N/A</v>
      </c>
      <c r="H2562" s="210" t="str">
        <f>TEXT(A2562,"ddd")</f>
        <v>Sat</v>
      </c>
    </row>
    <row r="2563" spans="1:8" x14ac:dyDescent="0.25">
      <c r="A2563" s="13"/>
      <c r="B2563" s="14"/>
      <c r="C2563" s="39"/>
      <c r="D2563" s="39"/>
      <c r="E2563" s="36" t="str">
        <f>IF(SUM(C2563:D2563)=0," ",SUM(C2563:D2563))</f>
        <v xml:space="preserve"> </v>
      </c>
      <c r="F2563" s="14"/>
      <c r="G2563" s="120" t="e">
        <f>VLOOKUP($B2563,Information!$C$8:$F$15,4,FALSE)</f>
        <v>#N/A</v>
      </c>
      <c r="H2563" s="210" t="str">
        <f>TEXT(A2563,"ddd")</f>
        <v>Sat</v>
      </c>
    </row>
    <row r="2564" spans="1:8" x14ac:dyDescent="0.25">
      <c r="A2564" s="13"/>
      <c r="B2564" s="14"/>
      <c r="C2564" s="39"/>
      <c r="D2564" s="39"/>
      <c r="E2564" s="36" t="str">
        <f>IF(SUM(C2564:D2564)=0," ",SUM(C2564:D2564))</f>
        <v xml:space="preserve"> </v>
      </c>
      <c r="F2564" s="14"/>
      <c r="G2564" s="120" t="e">
        <f>VLOOKUP($B2564,Information!$C$8:$F$15,4,FALSE)</f>
        <v>#N/A</v>
      </c>
      <c r="H2564" s="210" t="str">
        <f>TEXT(A2564,"ddd")</f>
        <v>Sat</v>
      </c>
    </row>
    <row r="2565" spans="1:8" x14ac:dyDescent="0.25">
      <c r="A2565" s="13"/>
      <c r="B2565" s="14"/>
      <c r="C2565" s="39"/>
      <c r="D2565" s="39"/>
      <c r="E2565" s="36" t="str">
        <f>IF(SUM(C2565:D2565)=0," ",SUM(C2565:D2565))</f>
        <v xml:space="preserve"> </v>
      </c>
      <c r="F2565" s="14"/>
      <c r="G2565" s="120" t="e">
        <f>VLOOKUP($B2565,Information!$C$8:$F$15,4,FALSE)</f>
        <v>#N/A</v>
      </c>
      <c r="H2565" s="210" t="str">
        <f>TEXT(A2565,"ddd")</f>
        <v>Sat</v>
      </c>
    </row>
    <row r="2566" spans="1:8" x14ac:dyDescent="0.25">
      <c r="A2566" s="13"/>
      <c r="B2566" s="14"/>
      <c r="C2566" s="39"/>
      <c r="D2566" s="39"/>
      <c r="E2566" s="36" t="str">
        <f>IF(SUM(C2566:D2566)=0," ",SUM(C2566:D2566))</f>
        <v xml:space="preserve"> </v>
      </c>
      <c r="F2566" s="14"/>
      <c r="G2566" s="120" t="e">
        <f>VLOOKUP($B2566,Information!$C$8:$F$15,4,FALSE)</f>
        <v>#N/A</v>
      </c>
      <c r="H2566" s="210" t="str">
        <f>TEXT(A2566,"ddd")</f>
        <v>Sat</v>
      </c>
    </row>
    <row r="2567" spans="1:8" x14ac:dyDescent="0.25">
      <c r="A2567" s="13"/>
      <c r="B2567" s="14"/>
      <c r="C2567" s="39"/>
      <c r="D2567" s="39"/>
      <c r="E2567" s="36" t="str">
        <f>IF(SUM(C2567:D2567)=0," ",SUM(C2567:D2567))</f>
        <v xml:space="preserve"> </v>
      </c>
      <c r="F2567" s="14"/>
      <c r="G2567" s="120" t="e">
        <f>VLOOKUP($B2567,Information!$C$8:$F$15,4,FALSE)</f>
        <v>#N/A</v>
      </c>
      <c r="H2567" s="210" t="str">
        <f>TEXT(A2567,"ddd")</f>
        <v>Sat</v>
      </c>
    </row>
    <row r="2568" spans="1:8" x14ac:dyDescent="0.25">
      <c r="A2568" s="13"/>
      <c r="B2568" s="14"/>
      <c r="C2568" s="39"/>
      <c r="D2568" s="39"/>
      <c r="E2568" s="36" t="str">
        <f>IF(SUM(C2568:D2568)=0," ",SUM(C2568:D2568))</f>
        <v xml:space="preserve"> </v>
      </c>
      <c r="F2568" s="14"/>
      <c r="G2568" s="120" t="e">
        <f>VLOOKUP($B2568,Information!$C$8:$F$15,4,FALSE)</f>
        <v>#N/A</v>
      </c>
      <c r="H2568" s="210" t="str">
        <f>TEXT(A2568,"ddd")</f>
        <v>Sat</v>
      </c>
    </row>
    <row r="2569" spans="1:8" x14ac:dyDescent="0.25">
      <c r="A2569" s="13"/>
      <c r="B2569" s="14"/>
      <c r="C2569" s="39"/>
      <c r="D2569" s="39"/>
      <c r="E2569" s="36" t="str">
        <f>IF(SUM(C2569:D2569)=0," ",SUM(C2569:D2569))</f>
        <v xml:space="preserve"> </v>
      </c>
      <c r="F2569" s="14"/>
      <c r="G2569" s="120" t="e">
        <f>VLOOKUP($B2569,Information!$C$8:$F$15,4,FALSE)</f>
        <v>#N/A</v>
      </c>
      <c r="H2569" s="210" t="str">
        <f>TEXT(A2569,"ddd")</f>
        <v>Sat</v>
      </c>
    </row>
    <row r="2570" spans="1:8" x14ac:dyDescent="0.25">
      <c r="A2570" s="13"/>
      <c r="B2570" s="14"/>
      <c r="C2570" s="39"/>
      <c r="D2570" s="39"/>
      <c r="E2570" s="36" t="str">
        <f>IF(SUM(C2570:D2570)=0," ",SUM(C2570:D2570))</f>
        <v xml:space="preserve"> </v>
      </c>
      <c r="F2570" s="14"/>
      <c r="G2570" s="120" t="e">
        <f>VLOOKUP($B2570,Information!$C$8:$F$15,4,FALSE)</f>
        <v>#N/A</v>
      </c>
      <c r="H2570" s="210" t="str">
        <f>TEXT(A2570,"ddd")</f>
        <v>Sat</v>
      </c>
    </row>
    <row r="2571" spans="1:8" x14ac:dyDescent="0.25">
      <c r="A2571" s="13"/>
      <c r="B2571" s="14"/>
      <c r="C2571" s="39"/>
      <c r="D2571" s="39"/>
      <c r="E2571" s="36" t="str">
        <f>IF(SUM(C2571:D2571)=0," ",SUM(C2571:D2571))</f>
        <v xml:space="preserve"> </v>
      </c>
      <c r="F2571" s="14"/>
      <c r="G2571" s="120" t="e">
        <f>VLOOKUP($B2571,Information!$C$8:$F$15,4,FALSE)</f>
        <v>#N/A</v>
      </c>
      <c r="H2571" s="210" t="str">
        <f>TEXT(A2571,"ddd")</f>
        <v>Sat</v>
      </c>
    </row>
    <row r="2572" spans="1:8" x14ac:dyDescent="0.25">
      <c r="A2572" s="13"/>
      <c r="B2572" s="14"/>
      <c r="C2572" s="39"/>
      <c r="D2572" s="39"/>
      <c r="E2572" s="36" t="str">
        <f>IF(SUM(C2572:D2572)=0," ",SUM(C2572:D2572))</f>
        <v xml:space="preserve"> </v>
      </c>
      <c r="F2572" s="14"/>
      <c r="G2572" s="120" t="e">
        <f>VLOOKUP($B2572,Information!$C$8:$F$15,4,FALSE)</f>
        <v>#N/A</v>
      </c>
      <c r="H2572" s="210" t="str">
        <f>TEXT(A2572,"ddd")</f>
        <v>Sat</v>
      </c>
    </row>
    <row r="2573" spans="1:8" x14ac:dyDescent="0.25">
      <c r="A2573" s="13"/>
      <c r="B2573" s="14"/>
      <c r="C2573" s="39"/>
      <c r="D2573" s="39"/>
      <c r="E2573" s="36" t="str">
        <f>IF(SUM(C2573:D2573)=0," ",SUM(C2573:D2573))</f>
        <v xml:space="preserve"> </v>
      </c>
      <c r="F2573" s="14"/>
      <c r="G2573" s="120" t="e">
        <f>VLOOKUP($B2573,Information!$C$8:$F$15,4,FALSE)</f>
        <v>#N/A</v>
      </c>
      <c r="H2573" s="210" t="str">
        <f>TEXT(A2573,"ddd")</f>
        <v>Sat</v>
      </c>
    </row>
    <row r="2574" spans="1:8" x14ac:dyDescent="0.25">
      <c r="A2574" s="13"/>
      <c r="B2574" s="14"/>
      <c r="C2574" s="39"/>
      <c r="D2574" s="39"/>
      <c r="E2574" s="36" t="str">
        <f>IF(SUM(C2574:D2574)=0," ",SUM(C2574:D2574))</f>
        <v xml:space="preserve"> </v>
      </c>
      <c r="F2574" s="14"/>
      <c r="G2574" s="120" t="e">
        <f>VLOOKUP($B2574,Information!$C$8:$F$15,4,FALSE)</f>
        <v>#N/A</v>
      </c>
      <c r="H2574" s="210" t="str">
        <f>TEXT(A2574,"ddd")</f>
        <v>Sat</v>
      </c>
    </row>
    <row r="2575" spans="1:8" x14ac:dyDescent="0.25">
      <c r="A2575" s="13"/>
      <c r="B2575" s="14"/>
      <c r="C2575" s="39"/>
      <c r="D2575" s="39"/>
      <c r="E2575" s="36" t="str">
        <f>IF(SUM(C2575:D2575)=0," ",SUM(C2575:D2575))</f>
        <v xml:space="preserve"> </v>
      </c>
      <c r="F2575" s="14"/>
      <c r="G2575" s="120" t="e">
        <f>VLOOKUP($B2575,Information!$C$8:$F$15,4,FALSE)</f>
        <v>#N/A</v>
      </c>
      <c r="H2575" s="210" t="str">
        <f>TEXT(A2575,"ddd")</f>
        <v>Sat</v>
      </c>
    </row>
    <row r="2576" spans="1:8" x14ac:dyDescent="0.25">
      <c r="A2576" s="13"/>
      <c r="B2576" s="14"/>
      <c r="C2576" s="39"/>
      <c r="D2576" s="39"/>
      <c r="E2576" s="36" t="str">
        <f>IF(SUM(C2576:D2576)=0," ",SUM(C2576:D2576))</f>
        <v xml:space="preserve"> </v>
      </c>
      <c r="F2576" s="14"/>
      <c r="G2576" s="120" t="e">
        <f>VLOOKUP($B2576,Information!$C$8:$F$15,4,FALSE)</f>
        <v>#N/A</v>
      </c>
      <c r="H2576" s="210" t="str">
        <f>TEXT(A2576,"ddd")</f>
        <v>Sat</v>
      </c>
    </row>
    <row r="2577" spans="1:8" x14ac:dyDescent="0.25">
      <c r="A2577" s="13"/>
      <c r="B2577" s="14"/>
      <c r="C2577" s="39"/>
      <c r="D2577" s="39"/>
      <c r="E2577" s="36" t="str">
        <f>IF(SUM(C2577:D2577)=0," ",SUM(C2577:D2577))</f>
        <v xml:space="preserve"> </v>
      </c>
      <c r="F2577" s="14"/>
      <c r="G2577" s="120" t="e">
        <f>VLOOKUP($B2577,Information!$C$8:$F$15,4,FALSE)</f>
        <v>#N/A</v>
      </c>
      <c r="H2577" s="210" t="str">
        <f>TEXT(A2577,"ddd")</f>
        <v>Sat</v>
      </c>
    </row>
    <row r="2578" spans="1:8" x14ac:dyDescent="0.25">
      <c r="A2578" s="13"/>
      <c r="B2578" s="14"/>
      <c r="C2578" s="39"/>
      <c r="D2578" s="39"/>
      <c r="E2578" s="36" t="str">
        <f>IF(SUM(C2578:D2578)=0," ",SUM(C2578:D2578))</f>
        <v xml:space="preserve"> </v>
      </c>
      <c r="F2578" s="14"/>
      <c r="G2578" s="120" t="e">
        <f>VLOOKUP($B2578,Information!$C$8:$F$15,4,FALSE)</f>
        <v>#N/A</v>
      </c>
      <c r="H2578" s="210" t="str">
        <f>TEXT(A2578,"ddd")</f>
        <v>Sat</v>
      </c>
    </row>
    <row r="2579" spans="1:8" x14ac:dyDescent="0.25">
      <c r="A2579" s="13"/>
      <c r="B2579" s="14"/>
      <c r="C2579" s="39"/>
      <c r="D2579" s="39"/>
      <c r="E2579" s="36" t="str">
        <f>IF(SUM(C2579:D2579)=0," ",SUM(C2579:D2579))</f>
        <v xml:space="preserve"> </v>
      </c>
      <c r="F2579" s="14"/>
      <c r="G2579" s="120" t="e">
        <f>VLOOKUP($B2579,Information!$C$8:$F$15,4,FALSE)</f>
        <v>#N/A</v>
      </c>
      <c r="H2579" s="210" t="str">
        <f>TEXT(A2579,"ddd")</f>
        <v>Sat</v>
      </c>
    </row>
    <row r="2580" spans="1:8" x14ac:dyDescent="0.25">
      <c r="A2580" s="13"/>
      <c r="B2580" s="14"/>
      <c r="C2580" s="39"/>
      <c r="D2580" s="39"/>
      <c r="E2580" s="36" t="str">
        <f>IF(SUM(C2580:D2580)=0," ",SUM(C2580:D2580))</f>
        <v xml:space="preserve"> </v>
      </c>
      <c r="F2580" s="14"/>
      <c r="G2580" s="120" t="e">
        <f>VLOOKUP($B2580,Information!$C$8:$F$15,4,FALSE)</f>
        <v>#N/A</v>
      </c>
      <c r="H2580" s="210" t="str">
        <f>TEXT(A2580,"ddd")</f>
        <v>Sat</v>
      </c>
    </row>
    <row r="2581" spans="1:8" x14ac:dyDescent="0.25">
      <c r="A2581" s="13"/>
      <c r="B2581" s="14"/>
      <c r="C2581" s="39"/>
      <c r="D2581" s="39"/>
      <c r="E2581" s="36" t="str">
        <f>IF(SUM(C2581:D2581)=0," ",SUM(C2581:D2581))</f>
        <v xml:space="preserve"> </v>
      </c>
      <c r="F2581" s="14"/>
      <c r="G2581" s="120" t="e">
        <f>VLOOKUP($B2581,Information!$C$8:$F$15,4,FALSE)</f>
        <v>#N/A</v>
      </c>
      <c r="H2581" s="210" t="str">
        <f>TEXT(A2581,"ddd")</f>
        <v>Sat</v>
      </c>
    </row>
    <row r="2582" spans="1:8" x14ac:dyDescent="0.25">
      <c r="A2582" s="13"/>
      <c r="B2582" s="14"/>
      <c r="C2582" s="39"/>
      <c r="D2582" s="39"/>
      <c r="E2582" s="36" t="str">
        <f>IF(SUM(C2582:D2582)=0," ",SUM(C2582:D2582))</f>
        <v xml:space="preserve"> </v>
      </c>
      <c r="F2582" s="14"/>
      <c r="G2582" s="120" t="e">
        <f>VLOOKUP($B2582,Information!$C$8:$F$15,4,FALSE)</f>
        <v>#N/A</v>
      </c>
      <c r="H2582" s="210" t="str">
        <f>TEXT(A2582,"ddd")</f>
        <v>Sat</v>
      </c>
    </row>
    <row r="2583" spans="1:8" x14ac:dyDescent="0.25">
      <c r="A2583" s="13"/>
      <c r="B2583" s="14"/>
      <c r="C2583" s="39"/>
      <c r="D2583" s="39"/>
      <c r="E2583" s="36" t="str">
        <f>IF(SUM(C2583:D2583)=0," ",SUM(C2583:D2583))</f>
        <v xml:space="preserve"> </v>
      </c>
      <c r="F2583" s="14"/>
      <c r="G2583" s="120" t="e">
        <f>VLOOKUP($B2583,Information!$C$8:$F$15,4,FALSE)</f>
        <v>#N/A</v>
      </c>
      <c r="H2583" s="210" t="str">
        <f>TEXT(A2583,"ddd")</f>
        <v>Sat</v>
      </c>
    </row>
    <row r="2584" spans="1:8" x14ac:dyDescent="0.25">
      <c r="A2584" s="13"/>
      <c r="B2584" s="14"/>
      <c r="C2584" s="39"/>
      <c r="D2584" s="39"/>
      <c r="E2584" s="36" t="str">
        <f>IF(SUM(C2584:D2584)=0," ",SUM(C2584:D2584))</f>
        <v xml:space="preserve"> </v>
      </c>
      <c r="F2584" s="14"/>
      <c r="G2584" s="120" t="e">
        <f>VLOOKUP($B2584,Information!$C$8:$F$15,4,FALSE)</f>
        <v>#N/A</v>
      </c>
      <c r="H2584" s="210" t="str">
        <f>TEXT(A2584,"ddd")</f>
        <v>Sat</v>
      </c>
    </row>
    <row r="2585" spans="1:8" x14ac:dyDescent="0.25">
      <c r="A2585" s="13"/>
      <c r="B2585" s="14"/>
      <c r="C2585" s="39"/>
      <c r="D2585" s="39"/>
      <c r="E2585" s="36" t="str">
        <f>IF(SUM(C2585:D2585)=0," ",SUM(C2585:D2585))</f>
        <v xml:space="preserve"> </v>
      </c>
      <c r="F2585" s="14"/>
      <c r="G2585" s="120" t="e">
        <f>VLOOKUP($B2585,Information!$C$8:$F$15,4,FALSE)</f>
        <v>#N/A</v>
      </c>
      <c r="H2585" s="210" t="str">
        <f>TEXT(A2585,"ddd")</f>
        <v>Sat</v>
      </c>
    </row>
    <row r="2586" spans="1:8" x14ac:dyDescent="0.25">
      <c r="A2586" s="13"/>
      <c r="B2586" s="14"/>
      <c r="C2586" s="39"/>
      <c r="D2586" s="39"/>
      <c r="E2586" s="36" t="str">
        <f>IF(SUM(C2586:D2586)=0," ",SUM(C2586:D2586))</f>
        <v xml:space="preserve"> </v>
      </c>
      <c r="F2586" s="14"/>
      <c r="G2586" s="120" t="e">
        <f>VLOOKUP($B2586,Information!$C$8:$F$15,4,FALSE)</f>
        <v>#N/A</v>
      </c>
      <c r="H2586" s="210" t="str">
        <f>TEXT(A2586,"ddd")</f>
        <v>Sat</v>
      </c>
    </row>
    <row r="2587" spans="1:8" x14ac:dyDescent="0.25">
      <c r="A2587" s="13"/>
      <c r="B2587" s="14"/>
      <c r="C2587" s="39"/>
      <c r="D2587" s="39"/>
      <c r="E2587" s="36" t="str">
        <f>IF(SUM(C2587:D2587)=0," ",SUM(C2587:D2587))</f>
        <v xml:space="preserve"> </v>
      </c>
      <c r="F2587" s="14"/>
      <c r="G2587" s="120" t="e">
        <f>VLOOKUP($B2587,Information!$C$8:$F$15,4,FALSE)</f>
        <v>#N/A</v>
      </c>
      <c r="H2587" s="210" t="str">
        <f>TEXT(A2587,"ddd")</f>
        <v>Sat</v>
      </c>
    </row>
    <row r="2588" spans="1:8" x14ac:dyDescent="0.25">
      <c r="A2588" s="13"/>
      <c r="B2588" s="14"/>
      <c r="C2588" s="39"/>
      <c r="D2588" s="39"/>
      <c r="E2588" s="36" t="str">
        <f>IF(SUM(C2588:D2588)=0," ",SUM(C2588:D2588))</f>
        <v xml:space="preserve"> </v>
      </c>
      <c r="F2588" s="14"/>
      <c r="G2588" s="120" t="e">
        <f>VLOOKUP($B2588,Information!$C$8:$F$15,4,FALSE)</f>
        <v>#N/A</v>
      </c>
      <c r="H2588" s="210" t="str">
        <f>TEXT(A2588,"ddd")</f>
        <v>Sat</v>
      </c>
    </row>
    <row r="2589" spans="1:8" x14ac:dyDescent="0.25">
      <c r="A2589" s="13"/>
      <c r="B2589" s="14"/>
      <c r="C2589" s="39"/>
      <c r="D2589" s="39"/>
      <c r="E2589" s="36" t="str">
        <f>IF(SUM(C2589:D2589)=0," ",SUM(C2589:D2589))</f>
        <v xml:space="preserve"> </v>
      </c>
      <c r="F2589" s="14"/>
      <c r="G2589" s="120" t="e">
        <f>VLOOKUP($B2589,Information!$C$8:$F$15,4,FALSE)</f>
        <v>#N/A</v>
      </c>
      <c r="H2589" s="210" t="str">
        <f>TEXT(A2589,"ddd")</f>
        <v>Sat</v>
      </c>
    </row>
    <row r="2590" spans="1:8" x14ac:dyDescent="0.25">
      <c r="A2590" s="13"/>
      <c r="B2590" s="14"/>
      <c r="C2590" s="39"/>
      <c r="D2590" s="39"/>
      <c r="E2590" s="36" t="str">
        <f>IF(SUM(C2590:D2590)=0," ",SUM(C2590:D2590))</f>
        <v xml:space="preserve"> </v>
      </c>
      <c r="F2590" s="14"/>
      <c r="G2590" s="120" t="e">
        <f>VLOOKUP($B2590,Information!$C$8:$F$15,4,FALSE)</f>
        <v>#N/A</v>
      </c>
      <c r="H2590" s="210" t="str">
        <f>TEXT(A2590,"ddd")</f>
        <v>Sat</v>
      </c>
    </row>
    <row r="2591" spans="1:8" x14ac:dyDescent="0.25">
      <c r="A2591" s="13"/>
      <c r="B2591" s="14"/>
      <c r="C2591" s="39"/>
      <c r="D2591" s="39"/>
      <c r="E2591" s="36" t="str">
        <f>IF(SUM(C2591:D2591)=0," ",SUM(C2591:D2591))</f>
        <v xml:space="preserve"> </v>
      </c>
      <c r="F2591" s="14"/>
      <c r="G2591" s="120" t="e">
        <f>VLOOKUP($B2591,Information!$C$8:$F$15,4,FALSE)</f>
        <v>#N/A</v>
      </c>
      <c r="H2591" s="210" t="str">
        <f>TEXT(A2591,"ddd")</f>
        <v>Sat</v>
      </c>
    </row>
    <row r="2592" spans="1:8" x14ac:dyDescent="0.25">
      <c r="A2592" s="13"/>
      <c r="B2592" s="14"/>
      <c r="C2592" s="39"/>
      <c r="D2592" s="39"/>
      <c r="E2592" s="36" t="str">
        <f>IF(SUM(C2592:D2592)=0," ",SUM(C2592:D2592))</f>
        <v xml:space="preserve"> </v>
      </c>
      <c r="F2592" s="14"/>
      <c r="G2592" s="120" t="e">
        <f>VLOOKUP($B2592,Information!$C$8:$F$15,4,FALSE)</f>
        <v>#N/A</v>
      </c>
      <c r="H2592" s="210" t="str">
        <f>TEXT(A2592,"ddd")</f>
        <v>Sat</v>
      </c>
    </row>
    <row r="2593" spans="1:8" x14ac:dyDescent="0.25">
      <c r="A2593" s="13"/>
      <c r="B2593" s="14"/>
      <c r="C2593" s="39"/>
      <c r="D2593" s="39"/>
      <c r="E2593" s="36" t="str">
        <f>IF(SUM(C2593:D2593)=0," ",SUM(C2593:D2593))</f>
        <v xml:space="preserve"> </v>
      </c>
      <c r="F2593" s="14"/>
      <c r="G2593" s="120" t="e">
        <f>VLOOKUP($B2593,Information!$C$8:$F$15,4,FALSE)</f>
        <v>#N/A</v>
      </c>
      <c r="H2593" s="210" t="str">
        <f>TEXT(A2593,"ddd")</f>
        <v>Sat</v>
      </c>
    </row>
    <row r="2594" spans="1:8" x14ac:dyDescent="0.25">
      <c r="A2594" s="13"/>
      <c r="B2594" s="14"/>
      <c r="C2594" s="39"/>
      <c r="D2594" s="39"/>
      <c r="E2594" s="36" t="str">
        <f>IF(SUM(C2594:D2594)=0," ",SUM(C2594:D2594))</f>
        <v xml:space="preserve"> </v>
      </c>
      <c r="F2594" s="14"/>
      <c r="G2594" s="120" t="e">
        <f>VLOOKUP($B2594,Information!$C$8:$F$15,4,FALSE)</f>
        <v>#N/A</v>
      </c>
      <c r="H2594" s="210" t="str">
        <f>TEXT(A2594,"ddd")</f>
        <v>Sat</v>
      </c>
    </row>
    <row r="2595" spans="1:8" x14ac:dyDescent="0.25">
      <c r="A2595" s="13"/>
      <c r="B2595" s="14"/>
      <c r="C2595" s="39"/>
      <c r="D2595" s="39"/>
      <c r="E2595" s="36" t="str">
        <f>IF(SUM(C2595:D2595)=0," ",SUM(C2595:D2595))</f>
        <v xml:space="preserve"> </v>
      </c>
      <c r="F2595" s="14"/>
      <c r="G2595" s="120" t="e">
        <f>VLOOKUP($B2595,Information!$C$8:$F$15,4,FALSE)</f>
        <v>#N/A</v>
      </c>
      <c r="H2595" s="210" t="str">
        <f>TEXT(A2595,"ddd")</f>
        <v>Sat</v>
      </c>
    </row>
    <row r="2596" spans="1:8" x14ac:dyDescent="0.25">
      <c r="A2596" s="13"/>
      <c r="B2596" s="14"/>
      <c r="C2596" s="39"/>
      <c r="D2596" s="39"/>
      <c r="E2596" s="36" t="str">
        <f>IF(SUM(C2596:D2596)=0," ",SUM(C2596:D2596))</f>
        <v xml:space="preserve"> </v>
      </c>
      <c r="F2596" s="14"/>
      <c r="G2596" s="120" t="e">
        <f>VLOOKUP($B2596,Information!$C$8:$F$15,4,FALSE)</f>
        <v>#N/A</v>
      </c>
      <c r="H2596" s="210" t="str">
        <f>TEXT(A2596,"ddd")</f>
        <v>Sat</v>
      </c>
    </row>
    <row r="2597" spans="1:8" x14ac:dyDescent="0.25">
      <c r="A2597" s="13"/>
      <c r="B2597" s="14"/>
      <c r="C2597" s="39"/>
      <c r="D2597" s="39"/>
      <c r="E2597" s="36" t="str">
        <f>IF(SUM(C2597:D2597)=0," ",SUM(C2597:D2597))</f>
        <v xml:space="preserve"> </v>
      </c>
      <c r="F2597" s="14"/>
      <c r="G2597" s="120" t="e">
        <f>VLOOKUP($B2597,Information!$C$8:$F$15,4,FALSE)</f>
        <v>#N/A</v>
      </c>
      <c r="H2597" s="210" t="str">
        <f>TEXT(A2597,"ddd")</f>
        <v>Sat</v>
      </c>
    </row>
    <row r="2598" spans="1:8" x14ac:dyDescent="0.25">
      <c r="A2598" s="13"/>
      <c r="B2598" s="14"/>
      <c r="C2598" s="39"/>
      <c r="D2598" s="39"/>
      <c r="E2598" s="36" t="str">
        <f>IF(SUM(C2598:D2598)=0," ",SUM(C2598:D2598))</f>
        <v xml:space="preserve"> </v>
      </c>
      <c r="F2598" s="14"/>
      <c r="G2598" s="120" t="e">
        <f>VLOOKUP($B2598,Information!$C$8:$F$15,4,FALSE)</f>
        <v>#N/A</v>
      </c>
      <c r="H2598" s="210" t="str">
        <f>TEXT(A2598,"ddd")</f>
        <v>Sat</v>
      </c>
    </row>
    <row r="2599" spans="1:8" x14ac:dyDescent="0.25">
      <c r="A2599" s="13"/>
      <c r="B2599" s="14"/>
      <c r="C2599" s="39"/>
      <c r="D2599" s="39"/>
      <c r="E2599" s="36" t="str">
        <f>IF(SUM(C2599:D2599)=0," ",SUM(C2599:D2599))</f>
        <v xml:space="preserve"> </v>
      </c>
      <c r="F2599" s="14"/>
      <c r="G2599" s="120" t="e">
        <f>VLOOKUP($B2599,Information!$C$8:$F$15,4,FALSE)</f>
        <v>#N/A</v>
      </c>
      <c r="H2599" s="210" t="str">
        <f>TEXT(A2599,"ddd")</f>
        <v>Sat</v>
      </c>
    </row>
    <row r="2600" spans="1:8" x14ac:dyDescent="0.25">
      <c r="A2600" s="13"/>
      <c r="B2600" s="14"/>
      <c r="C2600" s="39"/>
      <c r="D2600" s="39"/>
      <c r="E2600" s="36" t="str">
        <f>IF(SUM(C2600:D2600)=0," ",SUM(C2600:D2600))</f>
        <v xml:space="preserve"> </v>
      </c>
      <c r="F2600" s="14"/>
      <c r="G2600" s="120" t="e">
        <f>VLOOKUP($B2600,Information!$C$8:$F$15,4,FALSE)</f>
        <v>#N/A</v>
      </c>
      <c r="H2600" s="210" t="str">
        <f>TEXT(A2600,"ddd")</f>
        <v>Sat</v>
      </c>
    </row>
    <row r="2601" spans="1:8" x14ac:dyDescent="0.25">
      <c r="A2601" s="13"/>
      <c r="B2601" s="14"/>
      <c r="C2601" s="39"/>
      <c r="D2601" s="39"/>
      <c r="E2601" s="36" t="str">
        <f>IF(SUM(C2601:D2601)=0," ",SUM(C2601:D2601))</f>
        <v xml:space="preserve"> </v>
      </c>
      <c r="F2601" s="14"/>
      <c r="G2601" s="120" t="e">
        <f>VLOOKUP($B2601,Information!$C$8:$F$15,4,FALSE)</f>
        <v>#N/A</v>
      </c>
      <c r="H2601" s="210" t="str">
        <f>TEXT(A2601,"ddd")</f>
        <v>Sat</v>
      </c>
    </row>
    <row r="2602" spans="1:8" x14ac:dyDescent="0.25">
      <c r="A2602" s="13"/>
      <c r="B2602" s="14"/>
      <c r="C2602" s="39"/>
      <c r="D2602" s="39"/>
      <c r="E2602" s="36" t="str">
        <f>IF(SUM(C2602:D2602)=0," ",SUM(C2602:D2602))</f>
        <v xml:space="preserve"> </v>
      </c>
      <c r="F2602" s="14"/>
      <c r="G2602" s="120" t="e">
        <f>VLOOKUP($B2602,Information!$C$8:$F$15,4,FALSE)</f>
        <v>#N/A</v>
      </c>
      <c r="H2602" s="210" t="str">
        <f>TEXT(A2602,"ddd")</f>
        <v>Sat</v>
      </c>
    </row>
    <row r="2603" spans="1:8" x14ac:dyDescent="0.25">
      <c r="A2603" s="13"/>
      <c r="B2603" s="14"/>
      <c r="C2603" s="39"/>
      <c r="D2603" s="39"/>
      <c r="E2603" s="36" t="str">
        <f>IF(SUM(C2603:D2603)=0," ",SUM(C2603:D2603))</f>
        <v xml:space="preserve"> </v>
      </c>
      <c r="F2603" s="14"/>
      <c r="G2603" s="120" t="e">
        <f>VLOOKUP($B2603,Information!$C$8:$F$15,4,FALSE)</f>
        <v>#N/A</v>
      </c>
      <c r="H2603" s="210" t="str">
        <f>TEXT(A2603,"ddd")</f>
        <v>Sat</v>
      </c>
    </row>
    <row r="2604" spans="1:8" x14ac:dyDescent="0.25">
      <c r="A2604" s="13"/>
      <c r="B2604" s="14"/>
      <c r="C2604" s="39"/>
      <c r="D2604" s="39"/>
      <c r="E2604" s="36" t="str">
        <f>IF(SUM(C2604:D2604)=0," ",SUM(C2604:D2604))</f>
        <v xml:space="preserve"> </v>
      </c>
      <c r="F2604" s="14"/>
      <c r="G2604" s="120" t="e">
        <f>VLOOKUP($B2604,Information!$C$8:$F$15,4,FALSE)</f>
        <v>#N/A</v>
      </c>
      <c r="H2604" s="210" t="str">
        <f>TEXT(A2604,"ddd")</f>
        <v>Sat</v>
      </c>
    </row>
    <row r="2605" spans="1:8" x14ac:dyDescent="0.25">
      <c r="A2605" s="13"/>
      <c r="B2605" s="14"/>
      <c r="C2605" s="39"/>
      <c r="D2605" s="39"/>
      <c r="E2605" s="36" t="str">
        <f>IF(SUM(C2605:D2605)=0," ",SUM(C2605:D2605))</f>
        <v xml:space="preserve"> </v>
      </c>
      <c r="F2605" s="14"/>
      <c r="G2605" s="120" t="e">
        <f>VLOOKUP($B2605,Information!$C$8:$F$15,4,FALSE)</f>
        <v>#N/A</v>
      </c>
      <c r="H2605" s="210" t="str">
        <f>TEXT(A2605,"ddd")</f>
        <v>Sat</v>
      </c>
    </row>
    <row r="2606" spans="1:8" x14ac:dyDescent="0.25">
      <c r="A2606" s="13"/>
      <c r="B2606" s="14"/>
      <c r="C2606" s="39"/>
      <c r="D2606" s="39"/>
      <c r="E2606" s="36" t="str">
        <f>IF(SUM(C2606:D2606)=0," ",SUM(C2606:D2606))</f>
        <v xml:space="preserve"> </v>
      </c>
      <c r="F2606" s="14"/>
      <c r="G2606" s="120" t="e">
        <f>VLOOKUP($B2606,Information!$C$8:$F$15,4,FALSE)</f>
        <v>#N/A</v>
      </c>
      <c r="H2606" s="210" t="str">
        <f>TEXT(A2606,"ddd")</f>
        <v>Sat</v>
      </c>
    </row>
    <row r="2607" spans="1:8" x14ac:dyDescent="0.25">
      <c r="A2607" s="13"/>
      <c r="B2607" s="14"/>
      <c r="C2607" s="39"/>
      <c r="D2607" s="39"/>
      <c r="E2607" s="36" t="str">
        <f>IF(SUM(C2607:D2607)=0," ",SUM(C2607:D2607))</f>
        <v xml:space="preserve"> </v>
      </c>
      <c r="F2607" s="14"/>
      <c r="G2607" s="120" t="e">
        <f>VLOOKUP($B2607,Information!$C$8:$F$15,4,FALSE)</f>
        <v>#N/A</v>
      </c>
      <c r="H2607" s="210" t="str">
        <f>TEXT(A2607,"ddd")</f>
        <v>Sat</v>
      </c>
    </row>
    <row r="2608" spans="1:8" x14ac:dyDescent="0.25">
      <c r="A2608" s="13"/>
      <c r="B2608" s="14"/>
      <c r="C2608" s="39"/>
      <c r="D2608" s="39"/>
      <c r="E2608" s="36" t="str">
        <f>IF(SUM(C2608:D2608)=0," ",SUM(C2608:D2608))</f>
        <v xml:space="preserve"> </v>
      </c>
      <c r="F2608" s="14"/>
      <c r="G2608" s="120" t="e">
        <f>VLOOKUP($B2608,Information!$C$8:$F$15,4,FALSE)</f>
        <v>#N/A</v>
      </c>
      <c r="H2608" s="210" t="str">
        <f>TEXT(A2608,"ddd")</f>
        <v>Sat</v>
      </c>
    </row>
    <row r="2609" spans="1:8" x14ac:dyDescent="0.25">
      <c r="A2609" s="13"/>
      <c r="B2609" s="14"/>
      <c r="C2609" s="39"/>
      <c r="D2609" s="39"/>
      <c r="E2609" s="36" t="str">
        <f>IF(SUM(C2609:D2609)=0," ",SUM(C2609:D2609))</f>
        <v xml:space="preserve"> </v>
      </c>
      <c r="F2609" s="14"/>
      <c r="G2609" s="120" t="e">
        <f>VLOOKUP($B2609,Information!$C$8:$F$15,4,FALSE)</f>
        <v>#N/A</v>
      </c>
      <c r="H2609" s="210" t="str">
        <f>TEXT(A2609,"ddd")</f>
        <v>Sat</v>
      </c>
    </row>
    <row r="2610" spans="1:8" x14ac:dyDescent="0.25">
      <c r="A2610" s="13"/>
      <c r="B2610" s="14"/>
      <c r="C2610" s="39"/>
      <c r="D2610" s="39"/>
      <c r="E2610" s="36" t="str">
        <f>IF(SUM(C2610:D2610)=0," ",SUM(C2610:D2610))</f>
        <v xml:space="preserve"> </v>
      </c>
      <c r="F2610" s="14"/>
      <c r="G2610" s="120" t="e">
        <f>VLOOKUP($B2610,Information!$C$8:$F$15,4,FALSE)</f>
        <v>#N/A</v>
      </c>
      <c r="H2610" s="210" t="str">
        <f>TEXT(A2610,"ddd")</f>
        <v>Sat</v>
      </c>
    </row>
    <row r="2611" spans="1:8" x14ac:dyDescent="0.25">
      <c r="A2611" s="13"/>
      <c r="B2611" s="14"/>
      <c r="C2611" s="39"/>
      <c r="D2611" s="39"/>
      <c r="E2611" s="36" t="str">
        <f>IF(SUM(C2611:D2611)=0," ",SUM(C2611:D2611))</f>
        <v xml:space="preserve"> </v>
      </c>
      <c r="F2611" s="14"/>
      <c r="G2611" s="120" t="e">
        <f>VLOOKUP($B2611,Information!$C$8:$F$15,4,FALSE)</f>
        <v>#N/A</v>
      </c>
      <c r="H2611" s="210" t="str">
        <f>TEXT(A2611,"ddd")</f>
        <v>Sat</v>
      </c>
    </row>
    <row r="2612" spans="1:8" x14ac:dyDescent="0.25">
      <c r="A2612" s="13"/>
      <c r="B2612" s="14"/>
      <c r="C2612" s="39"/>
      <c r="D2612" s="39"/>
      <c r="E2612" s="36" t="str">
        <f>IF(SUM(C2612:D2612)=0," ",SUM(C2612:D2612))</f>
        <v xml:space="preserve"> </v>
      </c>
      <c r="F2612" s="14"/>
      <c r="G2612" s="120" t="e">
        <f>VLOOKUP($B2612,Information!$C$8:$F$15,4,FALSE)</f>
        <v>#N/A</v>
      </c>
      <c r="H2612" s="210" t="str">
        <f>TEXT(A2612,"ddd")</f>
        <v>Sat</v>
      </c>
    </row>
    <row r="2613" spans="1:8" x14ac:dyDescent="0.25">
      <c r="A2613" s="13"/>
      <c r="B2613" s="14"/>
      <c r="C2613" s="39"/>
      <c r="D2613" s="39"/>
      <c r="E2613" s="36" t="str">
        <f>IF(SUM(C2613:D2613)=0," ",SUM(C2613:D2613))</f>
        <v xml:space="preserve"> </v>
      </c>
      <c r="F2613" s="14"/>
      <c r="G2613" s="120" t="e">
        <f>VLOOKUP($B2613,Information!$C$8:$F$15,4,FALSE)</f>
        <v>#N/A</v>
      </c>
      <c r="H2613" s="210" t="str">
        <f>TEXT(A2613,"ddd")</f>
        <v>Sat</v>
      </c>
    </row>
    <row r="2614" spans="1:8" x14ac:dyDescent="0.25">
      <c r="A2614" s="13"/>
      <c r="B2614" s="14"/>
      <c r="C2614" s="39"/>
      <c r="D2614" s="39"/>
      <c r="E2614" s="36" t="str">
        <f>IF(SUM(C2614:D2614)=0," ",SUM(C2614:D2614))</f>
        <v xml:space="preserve"> </v>
      </c>
      <c r="F2614" s="14"/>
      <c r="G2614" s="120" t="e">
        <f>VLOOKUP($B2614,Information!$C$8:$F$15,4,FALSE)</f>
        <v>#N/A</v>
      </c>
      <c r="H2614" s="210" t="str">
        <f>TEXT(A2614,"ddd")</f>
        <v>Sat</v>
      </c>
    </row>
    <row r="2615" spans="1:8" x14ac:dyDescent="0.25">
      <c r="A2615" s="13"/>
      <c r="B2615" s="14"/>
      <c r="C2615" s="39"/>
      <c r="D2615" s="39"/>
      <c r="E2615" s="36" t="str">
        <f>IF(SUM(C2615:D2615)=0," ",SUM(C2615:D2615))</f>
        <v xml:space="preserve"> </v>
      </c>
      <c r="F2615" s="14"/>
      <c r="G2615" s="120" t="e">
        <f>VLOOKUP($B2615,Information!$C$8:$F$15,4,FALSE)</f>
        <v>#N/A</v>
      </c>
      <c r="H2615" s="210" t="str">
        <f>TEXT(A2615,"ddd")</f>
        <v>Sat</v>
      </c>
    </row>
    <row r="2616" spans="1:8" x14ac:dyDescent="0.25">
      <c r="A2616" s="13"/>
      <c r="B2616" s="14"/>
      <c r="C2616" s="39"/>
      <c r="D2616" s="39"/>
      <c r="E2616" s="36" t="str">
        <f>IF(SUM(C2616:D2616)=0," ",SUM(C2616:D2616))</f>
        <v xml:space="preserve"> </v>
      </c>
      <c r="F2616" s="14"/>
      <c r="G2616" s="120" t="e">
        <f>VLOOKUP($B2616,Information!$C$8:$F$15,4,FALSE)</f>
        <v>#N/A</v>
      </c>
      <c r="H2616" s="210" t="str">
        <f>TEXT(A2616,"ddd")</f>
        <v>Sat</v>
      </c>
    </row>
    <row r="2617" spans="1:8" x14ac:dyDescent="0.25">
      <c r="A2617" s="13"/>
      <c r="B2617" s="14"/>
      <c r="C2617" s="39"/>
      <c r="D2617" s="39"/>
      <c r="E2617" s="36" t="str">
        <f>IF(SUM(C2617:D2617)=0," ",SUM(C2617:D2617))</f>
        <v xml:space="preserve"> </v>
      </c>
      <c r="F2617" s="14"/>
      <c r="G2617" s="120" t="e">
        <f>VLOOKUP($B2617,Information!$C$8:$F$15,4,FALSE)</f>
        <v>#N/A</v>
      </c>
      <c r="H2617" s="210" t="str">
        <f>TEXT(A2617,"ddd")</f>
        <v>Sat</v>
      </c>
    </row>
    <row r="2618" spans="1:8" x14ac:dyDescent="0.25">
      <c r="A2618" s="13"/>
      <c r="B2618" s="14"/>
      <c r="C2618" s="39"/>
      <c r="D2618" s="39"/>
      <c r="E2618" s="36" t="str">
        <f>IF(SUM(C2618:D2618)=0," ",SUM(C2618:D2618))</f>
        <v xml:space="preserve"> </v>
      </c>
      <c r="F2618" s="14"/>
      <c r="G2618" s="120" t="e">
        <f>VLOOKUP($B2618,Information!$C$8:$F$15,4,FALSE)</f>
        <v>#N/A</v>
      </c>
      <c r="H2618" s="210" t="str">
        <f>TEXT(A2618,"ddd")</f>
        <v>Sat</v>
      </c>
    </row>
    <row r="2619" spans="1:8" x14ac:dyDescent="0.25">
      <c r="A2619" s="13"/>
      <c r="B2619" s="14"/>
      <c r="C2619" s="39"/>
      <c r="D2619" s="39"/>
      <c r="E2619" s="36" t="str">
        <f>IF(SUM(C2619:D2619)=0," ",SUM(C2619:D2619))</f>
        <v xml:space="preserve"> </v>
      </c>
      <c r="F2619" s="14"/>
      <c r="G2619" s="120" t="e">
        <f>VLOOKUP($B2619,Information!$C$8:$F$15,4,FALSE)</f>
        <v>#N/A</v>
      </c>
      <c r="H2619" s="210" t="str">
        <f>TEXT(A2619,"ddd")</f>
        <v>Sat</v>
      </c>
    </row>
    <row r="2620" spans="1:8" x14ac:dyDescent="0.25">
      <c r="A2620" s="13"/>
      <c r="B2620" s="14"/>
      <c r="C2620" s="39"/>
      <c r="D2620" s="39"/>
      <c r="E2620" s="36" t="str">
        <f>IF(SUM(C2620:D2620)=0," ",SUM(C2620:D2620))</f>
        <v xml:space="preserve"> </v>
      </c>
      <c r="F2620" s="14"/>
      <c r="G2620" s="120" t="e">
        <f>VLOOKUP($B2620,Information!$C$8:$F$15,4,FALSE)</f>
        <v>#N/A</v>
      </c>
      <c r="H2620" s="210" t="str">
        <f>TEXT(A2620,"ddd")</f>
        <v>Sat</v>
      </c>
    </row>
    <row r="2621" spans="1:8" x14ac:dyDescent="0.25">
      <c r="A2621" s="13"/>
      <c r="B2621" s="14"/>
      <c r="C2621" s="39"/>
      <c r="D2621" s="39"/>
      <c r="E2621" s="36" t="str">
        <f>IF(SUM(C2621:D2621)=0," ",SUM(C2621:D2621))</f>
        <v xml:space="preserve"> </v>
      </c>
      <c r="F2621" s="14"/>
      <c r="G2621" s="120" t="e">
        <f>VLOOKUP($B2621,Information!$C$8:$F$15,4,FALSE)</f>
        <v>#N/A</v>
      </c>
      <c r="H2621" s="210" t="str">
        <f>TEXT(A2621,"ddd")</f>
        <v>Sat</v>
      </c>
    </row>
    <row r="2622" spans="1:8" x14ac:dyDescent="0.25">
      <c r="A2622" s="13"/>
      <c r="B2622" s="14"/>
      <c r="C2622" s="39"/>
      <c r="D2622" s="39"/>
      <c r="E2622" s="36" t="str">
        <f>IF(SUM(C2622:D2622)=0," ",SUM(C2622:D2622))</f>
        <v xml:space="preserve"> </v>
      </c>
      <c r="F2622" s="14"/>
      <c r="G2622" s="120" t="e">
        <f>VLOOKUP($B2622,Information!$C$8:$F$15,4,FALSE)</f>
        <v>#N/A</v>
      </c>
      <c r="H2622" s="210" t="str">
        <f>TEXT(A2622,"ddd")</f>
        <v>Sat</v>
      </c>
    </row>
    <row r="2623" spans="1:8" x14ac:dyDescent="0.25">
      <c r="A2623" s="13"/>
      <c r="B2623" s="14"/>
      <c r="C2623" s="39"/>
      <c r="D2623" s="39"/>
      <c r="E2623" s="36" t="str">
        <f>IF(SUM(C2623:D2623)=0," ",SUM(C2623:D2623))</f>
        <v xml:space="preserve"> </v>
      </c>
      <c r="F2623" s="14"/>
      <c r="G2623" s="120" t="e">
        <f>VLOOKUP($B2623,Information!$C$8:$F$15,4,FALSE)</f>
        <v>#N/A</v>
      </c>
      <c r="H2623" s="210" t="str">
        <f>TEXT(A2623,"ddd")</f>
        <v>Sat</v>
      </c>
    </row>
    <row r="2624" spans="1:8" x14ac:dyDescent="0.25">
      <c r="A2624" s="13"/>
      <c r="B2624" s="14"/>
      <c r="C2624" s="39"/>
      <c r="D2624" s="39"/>
      <c r="E2624" s="36" t="str">
        <f>IF(SUM(C2624:D2624)=0," ",SUM(C2624:D2624))</f>
        <v xml:space="preserve"> </v>
      </c>
      <c r="F2624" s="14"/>
      <c r="G2624" s="120" t="e">
        <f>VLOOKUP($B2624,Information!$C$8:$F$15,4,FALSE)</f>
        <v>#N/A</v>
      </c>
      <c r="H2624" s="210" t="str">
        <f>TEXT(A2624,"ddd")</f>
        <v>Sat</v>
      </c>
    </row>
    <row r="2625" spans="1:8" x14ac:dyDescent="0.25">
      <c r="A2625" s="13"/>
      <c r="B2625" s="14"/>
      <c r="C2625" s="39"/>
      <c r="D2625" s="39"/>
      <c r="E2625" s="36" t="str">
        <f>IF(SUM(C2625:D2625)=0," ",SUM(C2625:D2625))</f>
        <v xml:space="preserve"> </v>
      </c>
      <c r="F2625" s="14"/>
      <c r="G2625" s="120" t="e">
        <f>VLOOKUP($B2625,Information!$C$8:$F$15,4,FALSE)</f>
        <v>#N/A</v>
      </c>
      <c r="H2625" s="210" t="str">
        <f>TEXT(A2625,"ddd")</f>
        <v>Sat</v>
      </c>
    </row>
    <row r="2626" spans="1:8" x14ac:dyDescent="0.25">
      <c r="A2626" s="13"/>
      <c r="B2626" s="14"/>
      <c r="C2626" s="39"/>
      <c r="D2626" s="39"/>
      <c r="E2626" s="36" t="str">
        <f>IF(SUM(C2626:D2626)=0," ",SUM(C2626:D2626))</f>
        <v xml:space="preserve"> </v>
      </c>
      <c r="F2626" s="14"/>
      <c r="G2626" s="120" t="e">
        <f>VLOOKUP($B2626,Information!$C$8:$F$15,4,FALSE)</f>
        <v>#N/A</v>
      </c>
      <c r="H2626" s="210" t="str">
        <f>TEXT(A2626,"ddd")</f>
        <v>Sat</v>
      </c>
    </row>
    <row r="2627" spans="1:8" x14ac:dyDescent="0.25">
      <c r="A2627" s="13"/>
      <c r="B2627" s="14"/>
      <c r="C2627" s="39"/>
      <c r="D2627" s="39"/>
      <c r="E2627" s="36" t="str">
        <f>IF(SUM(C2627:D2627)=0," ",SUM(C2627:D2627))</f>
        <v xml:space="preserve"> </v>
      </c>
      <c r="F2627" s="14"/>
      <c r="G2627" s="120" t="e">
        <f>VLOOKUP($B2627,Information!$C$8:$F$15,4,FALSE)</f>
        <v>#N/A</v>
      </c>
      <c r="H2627" s="210" t="str">
        <f>TEXT(A2627,"ddd")</f>
        <v>Sat</v>
      </c>
    </row>
    <row r="2628" spans="1:8" x14ac:dyDescent="0.25">
      <c r="A2628" s="13"/>
      <c r="B2628" s="14"/>
      <c r="C2628" s="39"/>
      <c r="D2628" s="39"/>
      <c r="E2628" s="36" t="str">
        <f>IF(SUM(C2628:D2628)=0," ",SUM(C2628:D2628))</f>
        <v xml:space="preserve"> </v>
      </c>
      <c r="F2628" s="14"/>
      <c r="G2628" s="120" t="e">
        <f>VLOOKUP($B2628,Information!$C$8:$F$15,4,FALSE)</f>
        <v>#N/A</v>
      </c>
      <c r="H2628" s="210" t="str">
        <f>TEXT(A2628,"ddd")</f>
        <v>Sat</v>
      </c>
    </row>
    <row r="2629" spans="1:8" x14ac:dyDescent="0.25">
      <c r="A2629" s="13"/>
      <c r="B2629" s="14"/>
      <c r="C2629" s="39"/>
      <c r="D2629" s="39"/>
      <c r="E2629" s="36" t="str">
        <f>IF(SUM(C2629:D2629)=0," ",SUM(C2629:D2629))</f>
        <v xml:space="preserve"> </v>
      </c>
      <c r="F2629" s="14"/>
      <c r="G2629" s="120" t="e">
        <f>VLOOKUP($B2629,Information!$C$8:$F$15,4,FALSE)</f>
        <v>#N/A</v>
      </c>
      <c r="H2629" s="210" t="str">
        <f>TEXT(A2629,"ddd")</f>
        <v>Sat</v>
      </c>
    </row>
    <row r="2630" spans="1:8" x14ac:dyDescent="0.25">
      <c r="A2630" s="13"/>
      <c r="B2630" s="14"/>
      <c r="C2630" s="39"/>
      <c r="D2630" s="39"/>
      <c r="E2630" s="36" t="str">
        <f>IF(SUM(C2630:D2630)=0," ",SUM(C2630:D2630))</f>
        <v xml:space="preserve"> </v>
      </c>
      <c r="F2630" s="14"/>
      <c r="G2630" s="120" t="e">
        <f>VLOOKUP($B2630,Information!$C$8:$F$15,4,FALSE)</f>
        <v>#N/A</v>
      </c>
      <c r="H2630" s="210" t="str">
        <f>TEXT(A2630,"ddd")</f>
        <v>Sat</v>
      </c>
    </row>
    <row r="2631" spans="1:8" x14ac:dyDescent="0.25">
      <c r="A2631" s="13"/>
      <c r="B2631" s="14"/>
      <c r="C2631" s="39"/>
      <c r="D2631" s="39"/>
      <c r="E2631" s="36" t="str">
        <f>IF(SUM(C2631:D2631)=0," ",SUM(C2631:D2631))</f>
        <v xml:space="preserve"> </v>
      </c>
      <c r="F2631" s="14"/>
      <c r="G2631" s="120" t="e">
        <f>VLOOKUP($B2631,Information!$C$8:$F$15,4,FALSE)</f>
        <v>#N/A</v>
      </c>
      <c r="H2631" s="210" t="str">
        <f>TEXT(A2631,"ddd")</f>
        <v>Sat</v>
      </c>
    </row>
    <row r="2632" spans="1:8" x14ac:dyDescent="0.25">
      <c r="A2632" s="13"/>
      <c r="B2632" s="14"/>
      <c r="C2632" s="39"/>
      <c r="D2632" s="39"/>
      <c r="E2632" s="36" t="str">
        <f>IF(SUM(C2632:D2632)=0," ",SUM(C2632:D2632))</f>
        <v xml:space="preserve"> </v>
      </c>
      <c r="F2632" s="14"/>
      <c r="G2632" s="120" t="e">
        <f>VLOOKUP($B2632,Information!$C$8:$F$15,4,FALSE)</f>
        <v>#N/A</v>
      </c>
      <c r="H2632" s="210" t="str">
        <f>TEXT(A2632,"ddd")</f>
        <v>Sat</v>
      </c>
    </row>
    <row r="2633" spans="1:8" x14ac:dyDescent="0.25">
      <c r="A2633" s="13"/>
      <c r="B2633" s="14"/>
      <c r="C2633" s="39"/>
      <c r="D2633" s="39"/>
      <c r="E2633" s="36" t="str">
        <f>IF(SUM(C2633:D2633)=0," ",SUM(C2633:D2633))</f>
        <v xml:space="preserve"> </v>
      </c>
      <c r="F2633" s="14"/>
      <c r="G2633" s="120" t="e">
        <f>VLOOKUP($B2633,Information!$C$8:$F$15,4,FALSE)</f>
        <v>#N/A</v>
      </c>
      <c r="H2633" s="210" t="str">
        <f>TEXT(A2633,"ddd")</f>
        <v>Sat</v>
      </c>
    </row>
    <row r="2634" spans="1:8" x14ac:dyDescent="0.25">
      <c r="A2634" s="13"/>
      <c r="B2634" s="14"/>
      <c r="C2634" s="39"/>
      <c r="D2634" s="39"/>
      <c r="E2634" s="36" t="str">
        <f>IF(SUM(C2634:D2634)=0," ",SUM(C2634:D2634))</f>
        <v xml:space="preserve"> </v>
      </c>
      <c r="F2634" s="14"/>
      <c r="G2634" s="120" t="e">
        <f>VLOOKUP($B2634,Information!$C$8:$F$15,4,FALSE)</f>
        <v>#N/A</v>
      </c>
      <c r="H2634" s="210" t="str">
        <f>TEXT(A2634,"ddd")</f>
        <v>Sat</v>
      </c>
    </row>
    <row r="2635" spans="1:8" x14ac:dyDescent="0.25">
      <c r="A2635" s="13"/>
      <c r="B2635" s="14"/>
      <c r="C2635" s="39"/>
      <c r="D2635" s="39"/>
      <c r="E2635" s="36" t="str">
        <f>IF(SUM(C2635:D2635)=0," ",SUM(C2635:D2635))</f>
        <v xml:space="preserve"> </v>
      </c>
      <c r="F2635" s="14"/>
      <c r="G2635" s="120" t="e">
        <f>VLOOKUP($B2635,Information!$C$8:$F$15,4,FALSE)</f>
        <v>#N/A</v>
      </c>
      <c r="H2635" s="210" t="str">
        <f>TEXT(A2635,"ddd")</f>
        <v>Sat</v>
      </c>
    </row>
    <row r="2636" spans="1:8" x14ac:dyDescent="0.25">
      <c r="A2636" s="13"/>
      <c r="B2636" s="14"/>
      <c r="C2636" s="39"/>
      <c r="D2636" s="39"/>
      <c r="E2636" s="36" t="str">
        <f>IF(SUM(C2636:D2636)=0," ",SUM(C2636:D2636))</f>
        <v xml:space="preserve"> </v>
      </c>
      <c r="F2636" s="14"/>
      <c r="G2636" s="120" t="e">
        <f>VLOOKUP($B2636,Information!$C$8:$F$15,4,FALSE)</f>
        <v>#N/A</v>
      </c>
      <c r="H2636" s="210" t="str">
        <f>TEXT(A2636,"ddd")</f>
        <v>Sat</v>
      </c>
    </row>
    <row r="2637" spans="1:8" x14ac:dyDescent="0.25">
      <c r="A2637" s="13"/>
      <c r="B2637" s="14"/>
      <c r="C2637" s="39"/>
      <c r="D2637" s="39"/>
      <c r="E2637" s="36" t="str">
        <f>IF(SUM(C2637:D2637)=0," ",SUM(C2637:D2637))</f>
        <v xml:space="preserve"> </v>
      </c>
      <c r="F2637" s="14"/>
      <c r="G2637" s="120" t="e">
        <f>VLOOKUP($B2637,Information!$C$8:$F$15,4,FALSE)</f>
        <v>#N/A</v>
      </c>
      <c r="H2637" s="210" t="str">
        <f>TEXT(A2637,"ddd")</f>
        <v>Sat</v>
      </c>
    </row>
    <row r="2638" spans="1:8" x14ac:dyDescent="0.25">
      <c r="A2638" s="13"/>
      <c r="B2638" s="14"/>
      <c r="C2638" s="39"/>
      <c r="D2638" s="39"/>
      <c r="E2638" s="36" t="str">
        <f>IF(SUM(C2638:D2638)=0," ",SUM(C2638:D2638))</f>
        <v xml:space="preserve"> </v>
      </c>
      <c r="F2638" s="14"/>
      <c r="G2638" s="120" t="e">
        <f>VLOOKUP($B2638,Information!$C$8:$F$15,4,FALSE)</f>
        <v>#N/A</v>
      </c>
      <c r="H2638" s="210" t="str">
        <f>TEXT(A2638,"ddd")</f>
        <v>Sat</v>
      </c>
    </row>
    <row r="2639" spans="1:8" x14ac:dyDescent="0.25">
      <c r="A2639" s="13"/>
      <c r="B2639" s="14"/>
      <c r="C2639" s="39"/>
      <c r="D2639" s="39"/>
      <c r="E2639" s="36" t="str">
        <f>IF(SUM(C2639:D2639)=0," ",SUM(C2639:D2639))</f>
        <v xml:space="preserve"> </v>
      </c>
      <c r="F2639" s="14"/>
      <c r="G2639" s="120" t="e">
        <f>VLOOKUP($B2639,Information!$C$8:$F$15,4,FALSE)</f>
        <v>#N/A</v>
      </c>
      <c r="H2639" s="210" t="str">
        <f>TEXT(A2639,"ddd")</f>
        <v>Sat</v>
      </c>
    </row>
    <row r="2640" spans="1:8" x14ac:dyDescent="0.25">
      <c r="A2640" s="13"/>
      <c r="B2640" s="14"/>
      <c r="C2640" s="39"/>
      <c r="D2640" s="39"/>
      <c r="E2640" s="36" t="str">
        <f>IF(SUM(C2640:D2640)=0," ",SUM(C2640:D2640))</f>
        <v xml:space="preserve"> </v>
      </c>
      <c r="F2640" s="14"/>
      <c r="G2640" s="120" t="e">
        <f>VLOOKUP($B2640,Information!$C$8:$F$15,4,FALSE)</f>
        <v>#N/A</v>
      </c>
      <c r="H2640" s="210" t="str">
        <f>TEXT(A2640,"ddd")</f>
        <v>Sat</v>
      </c>
    </row>
    <row r="2641" spans="1:8" x14ac:dyDescent="0.25">
      <c r="A2641" s="13"/>
      <c r="B2641" s="14"/>
      <c r="C2641" s="39"/>
      <c r="D2641" s="39"/>
      <c r="E2641" s="36" t="str">
        <f>IF(SUM(C2641:D2641)=0," ",SUM(C2641:D2641))</f>
        <v xml:space="preserve"> </v>
      </c>
      <c r="F2641" s="14"/>
      <c r="G2641" s="120" t="e">
        <f>VLOOKUP($B2641,Information!$C$8:$F$15,4,FALSE)</f>
        <v>#N/A</v>
      </c>
      <c r="H2641" s="210" t="str">
        <f>TEXT(A2641,"ddd")</f>
        <v>Sat</v>
      </c>
    </row>
    <row r="2642" spans="1:8" x14ac:dyDescent="0.25">
      <c r="A2642" s="13"/>
      <c r="B2642" s="14"/>
      <c r="C2642" s="39"/>
      <c r="D2642" s="39"/>
      <c r="E2642" s="36" t="str">
        <f>IF(SUM(C2642:D2642)=0," ",SUM(C2642:D2642))</f>
        <v xml:space="preserve"> </v>
      </c>
      <c r="F2642" s="14"/>
      <c r="G2642" s="120" t="e">
        <f>VLOOKUP($B2642,Information!$C$8:$F$15,4,FALSE)</f>
        <v>#N/A</v>
      </c>
      <c r="H2642" s="210" t="str">
        <f>TEXT(A2642,"ddd")</f>
        <v>Sat</v>
      </c>
    </row>
    <row r="2643" spans="1:8" x14ac:dyDescent="0.25">
      <c r="A2643" s="13"/>
      <c r="B2643" s="14"/>
      <c r="C2643" s="39"/>
      <c r="D2643" s="39"/>
      <c r="E2643" s="36" t="str">
        <f>IF(SUM(C2643:D2643)=0," ",SUM(C2643:D2643))</f>
        <v xml:space="preserve"> </v>
      </c>
      <c r="F2643" s="14"/>
      <c r="G2643" s="120" t="e">
        <f>VLOOKUP($B2643,Information!$C$8:$F$15,4,FALSE)</f>
        <v>#N/A</v>
      </c>
      <c r="H2643" s="210" t="str">
        <f>TEXT(A2643,"ddd")</f>
        <v>Sat</v>
      </c>
    </row>
    <row r="2644" spans="1:8" x14ac:dyDescent="0.25">
      <c r="A2644" s="13"/>
      <c r="B2644" s="14"/>
      <c r="C2644" s="39"/>
      <c r="D2644" s="39"/>
      <c r="E2644" s="36" t="str">
        <f>IF(SUM(C2644:D2644)=0," ",SUM(C2644:D2644))</f>
        <v xml:space="preserve"> </v>
      </c>
      <c r="F2644" s="14"/>
      <c r="G2644" s="120" t="e">
        <f>VLOOKUP($B2644,Information!$C$8:$F$15,4,FALSE)</f>
        <v>#N/A</v>
      </c>
      <c r="H2644" s="210" t="str">
        <f>TEXT(A2644,"ddd")</f>
        <v>Sat</v>
      </c>
    </row>
    <row r="2645" spans="1:8" x14ac:dyDescent="0.25">
      <c r="A2645" s="13"/>
      <c r="B2645" s="14"/>
      <c r="C2645" s="39"/>
      <c r="D2645" s="39"/>
      <c r="E2645" s="36" t="str">
        <f>IF(SUM(C2645:D2645)=0," ",SUM(C2645:D2645))</f>
        <v xml:space="preserve"> </v>
      </c>
      <c r="F2645" s="14"/>
      <c r="G2645" s="120" t="e">
        <f>VLOOKUP($B2645,Information!$C$8:$F$15,4,FALSE)</f>
        <v>#N/A</v>
      </c>
      <c r="H2645" s="210" t="str">
        <f>TEXT(A2645,"ddd")</f>
        <v>Sat</v>
      </c>
    </row>
    <row r="2646" spans="1:8" x14ac:dyDescent="0.25">
      <c r="A2646" s="13"/>
      <c r="B2646" s="14"/>
      <c r="C2646" s="39"/>
      <c r="D2646" s="39"/>
      <c r="E2646" s="36" t="str">
        <f>IF(SUM(C2646:D2646)=0," ",SUM(C2646:D2646))</f>
        <v xml:space="preserve"> </v>
      </c>
      <c r="F2646" s="14"/>
      <c r="G2646" s="120" t="e">
        <f>VLOOKUP($B2646,Information!$C$8:$F$15,4,FALSE)</f>
        <v>#N/A</v>
      </c>
      <c r="H2646" s="210" t="str">
        <f>TEXT(A2646,"ddd")</f>
        <v>Sat</v>
      </c>
    </row>
    <row r="2647" spans="1:8" x14ac:dyDescent="0.25">
      <c r="A2647" s="13"/>
      <c r="B2647" s="14"/>
      <c r="C2647" s="39"/>
      <c r="D2647" s="39"/>
      <c r="E2647" s="36" t="str">
        <f>IF(SUM(C2647:D2647)=0," ",SUM(C2647:D2647))</f>
        <v xml:space="preserve"> </v>
      </c>
      <c r="F2647" s="14"/>
      <c r="G2647" s="120" t="e">
        <f>VLOOKUP($B2647,Information!$C$8:$F$15,4,FALSE)</f>
        <v>#N/A</v>
      </c>
      <c r="H2647" s="210" t="str">
        <f>TEXT(A2647,"ddd")</f>
        <v>Sat</v>
      </c>
    </row>
    <row r="2648" spans="1:8" x14ac:dyDescent="0.25">
      <c r="A2648" s="13"/>
      <c r="B2648" s="14"/>
      <c r="C2648" s="39"/>
      <c r="D2648" s="39"/>
      <c r="E2648" s="36" t="str">
        <f>IF(SUM(C2648:D2648)=0," ",SUM(C2648:D2648))</f>
        <v xml:space="preserve"> </v>
      </c>
      <c r="F2648" s="14"/>
      <c r="G2648" s="120" t="e">
        <f>VLOOKUP($B2648,Information!$C$8:$F$15,4,FALSE)</f>
        <v>#N/A</v>
      </c>
      <c r="H2648" s="210" t="str">
        <f>TEXT(A2648,"ddd")</f>
        <v>Sat</v>
      </c>
    </row>
    <row r="2649" spans="1:8" x14ac:dyDescent="0.25">
      <c r="A2649" s="13"/>
      <c r="B2649" s="14"/>
      <c r="C2649" s="39"/>
      <c r="D2649" s="39"/>
      <c r="E2649" s="36" t="str">
        <f>IF(SUM(C2649:D2649)=0," ",SUM(C2649:D2649))</f>
        <v xml:space="preserve"> </v>
      </c>
      <c r="F2649" s="14"/>
      <c r="G2649" s="120" t="e">
        <f>VLOOKUP($B2649,Information!$C$8:$F$15,4,FALSE)</f>
        <v>#N/A</v>
      </c>
      <c r="H2649" s="210" t="str">
        <f>TEXT(A2649,"ddd")</f>
        <v>Sat</v>
      </c>
    </row>
    <row r="2650" spans="1:8" x14ac:dyDescent="0.25">
      <c r="A2650" s="13"/>
      <c r="B2650" s="14"/>
      <c r="C2650" s="39"/>
      <c r="D2650" s="39"/>
      <c r="E2650" s="36" t="str">
        <f>IF(SUM(C2650:D2650)=0," ",SUM(C2650:D2650))</f>
        <v xml:space="preserve"> </v>
      </c>
      <c r="F2650" s="14"/>
      <c r="G2650" s="120" t="e">
        <f>VLOOKUP($B2650,Information!$C$8:$F$15,4,FALSE)</f>
        <v>#N/A</v>
      </c>
      <c r="H2650" s="210" t="str">
        <f>TEXT(A2650,"ddd")</f>
        <v>Sat</v>
      </c>
    </row>
    <row r="2651" spans="1:8" x14ac:dyDescent="0.25">
      <c r="A2651" s="13"/>
      <c r="B2651" s="14"/>
      <c r="C2651" s="39"/>
      <c r="D2651" s="39"/>
      <c r="E2651" s="36" t="str">
        <f>IF(SUM(C2651:D2651)=0," ",SUM(C2651:D2651))</f>
        <v xml:space="preserve"> </v>
      </c>
      <c r="F2651" s="14"/>
      <c r="G2651" s="120" t="e">
        <f>VLOOKUP($B2651,Information!$C$8:$F$15,4,FALSE)</f>
        <v>#N/A</v>
      </c>
      <c r="H2651" s="210" t="str">
        <f>TEXT(A2651,"ddd")</f>
        <v>Sat</v>
      </c>
    </row>
    <row r="2652" spans="1:8" x14ac:dyDescent="0.25">
      <c r="A2652" s="13"/>
      <c r="B2652" s="14"/>
      <c r="C2652" s="39"/>
      <c r="D2652" s="39"/>
      <c r="E2652" s="36" t="str">
        <f>IF(SUM(C2652:D2652)=0," ",SUM(C2652:D2652))</f>
        <v xml:space="preserve"> </v>
      </c>
      <c r="F2652" s="14"/>
      <c r="G2652" s="120" t="e">
        <f>VLOOKUP($B2652,Information!$C$8:$F$15,4,FALSE)</f>
        <v>#N/A</v>
      </c>
      <c r="H2652" s="210" t="str">
        <f>TEXT(A2652,"ddd")</f>
        <v>Sat</v>
      </c>
    </row>
    <row r="2653" spans="1:8" x14ac:dyDescent="0.25">
      <c r="A2653" s="13"/>
      <c r="B2653" s="14"/>
      <c r="C2653" s="39"/>
      <c r="D2653" s="39"/>
      <c r="E2653" s="36" t="str">
        <f>IF(SUM(C2653:D2653)=0," ",SUM(C2653:D2653))</f>
        <v xml:space="preserve"> </v>
      </c>
      <c r="F2653" s="14"/>
      <c r="G2653" s="120" t="e">
        <f>VLOOKUP($B2653,Information!$C$8:$F$15,4,FALSE)</f>
        <v>#N/A</v>
      </c>
      <c r="H2653" s="210" t="str">
        <f>TEXT(A2653,"ddd")</f>
        <v>Sat</v>
      </c>
    </row>
    <row r="2654" spans="1:8" x14ac:dyDescent="0.25">
      <c r="A2654" s="13"/>
      <c r="B2654" s="14"/>
      <c r="C2654" s="39"/>
      <c r="D2654" s="39"/>
      <c r="E2654" s="36" t="str">
        <f>IF(SUM(C2654:D2654)=0," ",SUM(C2654:D2654))</f>
        <v xml:space="preserve"> </v>
      </c>
      <c r="F2654" s="14"/>
      <c r="G2654" s="120" t="e">
        <f>VLOOKUP($B2654,Information!$C$8:$F$15,4,FALSE)</f>
        <v>#N/A</v>
      </c>
      <c r="H2654" s="210" t="str">
        <f>TEXT(A2654,"ddd")</f>
        <v>Sat</v>
      </c>
    </row>
    <row r="2655" spans="1:8" x14ac:dyDescent="0.25">
      <c r="A2655" s="13"/>
      <c r="B2655" s="14"/>
      <c r="C2655" s="39"/>
      <c r="D2655" s="39"/>
      <c r="E2655" s="36" t="str">
        <f>IF(SUM(C2655:D2655)=0," ",SUM(C2655:D2655))</f>
        <v xml:space="preserve"> </v>
      </c>
      <c r="F2655" s="14"/>
      <c r="G2655" s="120" t="e">
        <f>VLOOKUP($B2655,Information!$C$8:$F$15,4,FALSE)</f>
        <v>#N/A</v>
      </c>
      <c r="H2655" s="210" t="str">
        <f>TEXT(A2655,"ddd")</f>
        <v>Sat</v>
      </c>
    </row>
    <row r="2656" spans="1:8" x14ac:dyDescent="0.25">
      <c r="A2656" s="13"/>
      <c r="B2656" s="14"/>
      <c r="C2656" s="39"/>
      <c r="D2656" s="39"/>
      <c r="E2656" s="36" t="str">
        <f>IF(SUM(C2656:D2656)=0," ",SUM(C2656:D2656))</f>
        <v xml:space="preserve"> </v>
      </c>
      <c r="F2656" s="14"/>
      <c r="G2656" s="120" t="e">
        <f>VLOOKUP($B2656,Information!$C$8:$F$15,4,FALSE)</f>
        <v>#N/A</v>
      </c>
      <c r="H2656" s="210" t="str">
        <f>TEXT(A2656,"ddd")</f>
        <v>Sat</v>
      </c>
    </row>
    <row r="2657" spans="1:8" x14ac:dyDescent="0.25">
      <c r="A2657" s="13"/>
      <c r="B2657" s="14"/>
      <c r="C2657" s="39"/>
      <c r="D2657" s="39"/>
      <c r="E2657" s="36" t="str">
        <f>IF(SUM(C2657:D2657)=0," ",SUM(C2657:D2657))</f>
        <v xml:space="preserve"> </v>
      </c>
      <c r="F2657" s="14"/>
      <c r="G2657" s="120" t="e">
        <f>VLOOKUP($B2657,Information!$C$8:$F$15,4,FALSE)</f>
        <v>#N/A</v>
      </c>
      <c r="H2657" s="210" t="str">
        <f>TEXT(A2657,"ddd")</f>
        <v>Sat</v>
      </c>
    </row>
    <row r="2658" spans="1:8" x14ac:dyDescent="0.25">
      <c r="A2658" s="13"/>
      <c r="B2658" s="14"/>
      <c r="C2658" s="39"/>
      <c r="D2658" s="39"/>
      <c r="E2658" s="36" t="str">
        <f>IF(SUM(C2658:D2658)=0," ",SUM(C2658:D2658))</f>
        <v xml:space="preserve"> </v>
      </c>
      <c r="F2658" s="14"/>
      <c r="G2658" s="120" t="e">
        <f>VLOOKUP($B2658,Information!$C$8:$F$15,4,FALSE)</f>
        <v>#N/A</v>
      </c>
      <c r="H2658" s="210" t="str">
        <f>TEXT(A2658,"ddd")</f>
        <v>Sat</v>
      </c>
    </row>
    <row r="2659" spans="1:8" x14ac:dyDescent="0.25">
      <c r="A2659" s="13"/>
      <c r="B2659" s="14"/>
      <c r="C2659" s="39"/>
      <c r="D2659" s="39"/>
      <c r="E2659" s="36" t="str">
        <f>IF(SUM(C2659:D2659)=0," ",SUM(C2659:D2659))</f>
        <v xml:space="preserve"> </v>
      </c>
      <c r="F2659" s="14"/>
      <c r="G2659" s="120" t="e">
        <f>VLOOKUP($B2659,Information!$C$8:$F$15,4,FALSE)</f>
        <v>#N/A</v>
      </c>
      <c r="H2659" s="210" t="str">
        <f>TEXT(A2659,"ddd")</f>
        <v>Sat</v>
      </c>
    </row>
    <row r="2660" spans="1:8" x14ac:dyDescent="0.25">
      <c r="A2660" s="13"/>
      <c r="B2660" s="14"/>
      <c r="C2660" s="39"/>
      <c r="D2660" s="39"/>
      <c r="E2660" s="36" t="str">
        <f>IF(SUM(C2660:D2660)=0," ",SUM(C2660:D2660))</f>
        <v xml:space="preserve"> </v>
      </c>
      <c r="F2660" s="14"/>
      <c r="G2660" s="120" t="e">
        <f>VLOOKUP($B2660,Information!$C$8:$F$15,4,FALSE)</f>
        <v>#N/A</v>
      </c>
      <c r="H2660" s="210" t="str">
        <f>TEXT(A2660,"ddd")</f>
        <v>Sat</v>
      </c>
    </row>
    <row r="2661" spans="1:8" x14ac:dyDescent="0.25">
      <c r="A2661" s="13"/>
      <c r="B2661" s="14"/>
      <c r="C2661" s="39"/>
      <c r="D2661" s="39"/>
      <c r="E2661" s="36" t="str">
        <f>IF(SUM(C2661:D2661)=0," ",SUM(C2661:D2661))</f>
        <v xml:space="preserve"> </v>
      </c>
      <c r="F2661" s="14"/>
      <c r="G2661" s="120" t="e">
        <f>VLOOKUP($B2661,Information!$C$8:$F$15,4,FALSE)</f>
        <v>#N/A</v>
      </c>
      <c r="H2661" s="210" t="str">
        <f>TEXT(A2661,"ddd")</f>
        <v>Sat</v>
      </c>
    </row>
    <row r="2662" spans="1:8" x14ac:dyDescent="0.25">
      <c r="A2662" s="13"/>
      <c r="B2662" s="14"/>
      <c r="C2662" s="39"/>
      <c r="D2662" s="39"/>
      <c r="E2662" s="36" t="str">
        <f>IF(SUM(C2662:D2662)=0," ",SUM(C2662:D2662))</f>
        <v xml:space="preserve"> </v>
      </c>
      <c r="F2662" s="14"/>
      <c r="G2662" s="120" t="e">
        <f>VLOOKUP($B2662,Information!$C$8:$F$15,4,FALSE)</f>
        <v>#N/A</v>
      </c>
      <c r="H2662" s="210" t="str">
        <f>TEXT(A2662,"ddd")</f>
        <v>Sat</v>
      </c>
    </row>
    <row r="2663" spans="1:8" x14ac:dyDescent="0.25">
      <c r="A2663" s="13"/>
      <c r="B2663" s="14"/>
      <c r="C2663" s="39"/>
      <c r="D2663" s="39"/>
      <c r="E2663" s="36" t="str">
        <f>IF(SUM(C2663:D2663)=0," ",SUM(C2663:D2663))</f>
        <v xml:space="preserve"> </v>
      </c>
      <c r="F2663" s="14"/>
      <c r="G2663" s="120" t="e">
        <f>VLOOKUP($B2663,Information!$C$8:$F$15,4,FALSE)</f>
        <v>#N/A</v>
      </c>
      <c r="H2663" s="210" t="str">
        <f>TEXT(A2663,"ddd")</f>
        <v>Sat</v>
      </c>
    </row>
    <row r="2664" spans="1:8" x14ac:dyDescent="0.25">
      <c r="A2664" s="13"/>
      <c r="B2664" s="14"/>
      <c r="C2664" s="39"/>
      <c r="D2664" s="39"/>
      <c r="E2664" s="36" t="str">
        <f>IF(SUM(C2664:D2664)=0," ",SUM(C2664:D2664))</f>
        <v xml:space="preserve"> </v>
      </c>
      <c r="F2664" s="14"/>
      <c r="G2664" s="120" t="e">
        <f>VLOOKUP($B2664,Information!$C$8:$F$15,4,FALSE)</f>
        <v>#N/A</v>
      </c>
      <c r="H2664" s="210" t="str">
        <f>TEXT(A2664,"ddd")</f>
        <v>Sat</v>
      </c>
    </row>
    <row r="2665" spans="1:8" x14ac:dyDescent="0.25">
      <c r="A2665" s="13"/>
      <c r="B2665" s="14"/>
      <c r="C2665" s="39"/>
      <c r="D2665" s="39"/>
      <c r="E2665" s="36" t="str">
        <f>IF(SUM(C2665:D2665)=0," ",SUM(C2665:D2665))</f>
        <v xml:space="preserve"> </v>
      </c>
      <c r="F2665" s="14"/>
      <c r="G2665" s="120" t="e">
        <f>VLOOKUP($B2665,Information!$C$8:$F$15,4,FALSE)</f>
        <v>#N/A</v>
      </c>
      <c r="H2665" s="210" t="str">
        <f>TEXT(A2665,"ddd")</f>
        <v>Sat</v>
      </c>
    </row>
    <row r="2666" spans="1:8" x14ac:dyDescent="0.25">
      <c r="A2666" s="13"/>
      <c r="B2666" s="14"/>
      <c r="C2666" s="39"/>
      <c r="D2666" s="39"/>
      <c r="E2666" s="36" t="str">
        <f>IF(SUM(C2666:D2666)=0," ",SUM(C2666:D2666))</f>
        <v xml:space="preserve"> </v>
      </c>
      <c r="F2666" s="14"/>
      <c r="G2666" s="120" t="e">
        <f>VLOOKUP($B2666,Information!$C$8:$F$15,4,FALSE)</f>
        <v>#N/A</v>
      </c>
      <c r="H2666" s="210" t="str">
        <f>TEXT(A2666,"ddd")</f>
        <v>Sat</v>
      </c>
    </row>
    <row r="2667" spans="1:8" x14ac:dyDescent="0.25">
      <c r="A2667" s="13"/>
      <c r="B2667" s="14"/>
      <c r="C2667" s="39"/>
      <c r="D2667" s="39"/>
      <c r="E2667" s="36" t="str">
        <f>IF(SUM(C2667:D2667)=0," ",SUM(C2667:D2667))</f>
        <v xml:space="preserve"> </v>
      </c>
      <c r="F2667" s="14"/>
      <c r="G2667" s="120" t="e">
        <f>VLOOKUP($B2667,Information!$C$8:$F$15,4,FALSE)</f>
        <v>#N/A</v>
      </c>
      <c r="H2667" s="210" t="str">
        <f>TEXT(A2667,"ddd")</f>
        <v>Sat</v>
      </c>
    </row>
    <row r="2668" spans="1:8" x14ac:dyDescent="0.25">
      <c r="A2668" s="13"/>
      <c r="B2668" s="14"/>
      <c r="C2668" s="39"/>
      <c r="D2668" s="39"/>
      <c r="E2668" s="36" t="str">
        <f>IF(SUM(C2668:D2668)=0," ",SUM(C2668:D2668))</f>
        <v xml:space="preserve"> </v>
      </c>
      <c r="F2668" s="14"/>
      <c r="G2668" s="120" t="e">
        <f>VLOOKUP($B2668,Information!$C$8:$F$15,4,FALSE)</f>
        <v>#N/A</v>
      </c>
      <c r="H2668" s="210" t="str">
        <f>TEXT(A2668,"ddd")</f>
        <v>Sat</v>
      </c>
    </row>
    <row r="2669" spans="1:8" x14ac:dyDescent="0.25">
      <c r="A2669" s="13"/>
      <c r="B2669" s="14"/>
      <c r="C2669" s="39"/>
      <c r="D2669" s="39"/>
      <c r="E2669" s="36" t="str">
        <f>IF(SUM(C2669:D2669)=0," ",SUM(C2669:D2669))</f>
        <v xml:space="preserve"> </v>
      </c>
      <c r="F2669" s="14"/>
      <c r="G2669" s="120" t="e">
        <f>VLOOKUP($B2669,Information!$C$8:$F$15,4,FALSE)</f>
        <v>#N/A</v>
      </c>
      <c r="H2669" s="210" t="str">
        <f>TEXT(A2669,"ddd")</f>
        <v>Sat</v>
      </c>
    </row>
    <row r="2670" spans="1:8" x14ac:dyDescent="0.25">
      <c r="A2670" s="13"/>
      <c r="B2670" s="14"/>
      <c r="C2670" s="39"/>
      <c r="D2670" s="39"/>
      <c r="E2670" s="36" t="str">
        <f>IF(SUM(C2670:D2670)=0," ",SUM(C2670:D2670))</f>
        <v xml:space="preserve"> </v>
      </c>
      <c r="F2670" s="14"/>
      <c r="G2670" s="120" t="e">
        <f>VLOOKUP($B2670,Information!$C$8:$F$15,4,FALSE)</f>
        <v>#N/A</v>
      </c>
      <c r="H2670" s="210" t="str">
        <f>TEXT(A2670,"ddd")</f>
        <v>Sat</v>
      </c>
    </row>
    <row r="2671" spans="1:8" x14ac:dyDescent="0.25">
      <c r="A2671" s="13"/>
      <c r="B2671" s="14"/>
      <c r="C2671" s="39"/>
      <c r="D2671" s="39"/>
      <c r="E2671" s="36" t="str">
        <f>IF(SUM(C2671:D2671)=0," ",SUM(C2671:D2671))</f>
        <v xml:space="preserve"> </v>
      </c>
      <c r="F2671" s="14"/>
      <c r="G2671" s="120" t="e">
        <f>VLOOKUP($B2671,Information!$C$8:$F$15,4,FALSE)</f>
        <v>#N/A</v>
      </c>
      <c r="H2671" s="210" t="str">
        <f>TEXT(A2671,"ddd")</f>
        <v>Sat</v>
      </c>
    </row>
    <row r="2672" spans="1:8" x14ac:dyDescent="0.25">
      <c r="A2672" s="13"/>
      <c r="B2672" s="14"/>
      <c r="C2672" s="39"/>
      <c r="D2672" s="39"/>
      <c r="E2672" s="36" t="str">
        <f>IF(SUM(C2672:D2672)=0," ",SUM(C2672:D2672))</f>
        <v xml:space="preserve"> </v>
      </c>
      <c r="F2672" s="14"/>
      <c r="G2672" s="120" t="e">
        <f>VLOOKUP($B2672,Information!$C$8:$F$15,4,FALSE)</f>
        <v>#N/A</v>
      </c>
      <c r="H2672" s="210" t="str">
        <f>TEXT(A2672,"ddd")</f>
        <v>Sat</v>
      </c>
    </row>
    <row r="2673" spans="1:8" x14ac:dyDescent="0.25">
      <c r="A2673" s="13"/>
      <c r="B2673" s="14"/>
      <c r="C2673" s="39"/>
      <c r="D2673" s="39"/>
      <c r="E2673" s="36" t="str">
        <f>IF(SUM(C2673:D2673)=0," ",SUM(C2673:D2673))</f>
        <v xml:space="preserve"> </v>
      </c>
      <c r="F2673" s="14"/>
      <c r="G2673" s="120" t="e">
        <f>VLOOKUP($B2673,Information!$C$8:$F$15,4,FALSE)</f>
        <v>#N/A</v>
      </c>
      <c r="H2673" s="210" t="str">
        <f>TEXT(A2673,"ddd")</f>
        <v>Sat</v>
      </c>
    </row>
    <row r="2674" spans="1:8" x14ac:dyDescent="0.25">
      <c r="A2674" s="13"/>
      <c r="B2674" s="14"/>
      <c r="C2674" s="39"/>
      <c r="D2674" s="39"/>
      <c r="E2674" s="36" t="str">
        <f>IF(SUM(C2674:D2674)=0," ",SUM(C2674:D2674))</f>
        <v xml:space="preserve"> </v>
      </c>
      <c r="F2674" s="14"/>
      <c r="G2674" s="120" t="e">
        <f>VLOOKUP($B2674,Information!$C$8:$F$15,4,FALSE)</f>
        <v>#N/A</v>
      </c>
      <c r="H2674" s="210" t="str">
        <f>TEXT(A2674,"ddd")</f>
        <v>Sat</v>
      </c>
    </row>
    <row r="2675" spans="1:8" x14ac:dyDescent="0.25">
      <c r="A2675" s="13"/>
      <c r="B2675" s="14"/>
      <c r="C2675" s="39"/>
      <c r="D2675" s="39"/>
      <c r="E2675" s="36" t="str">
        <f>IF(SUM(C2675:D2675)=0," ",SUM(C2675:D2675))</f>
        <v xml:space="preserve"> </v>
      </c>
      <c r="F2675" s="14"/>
      <c r="G2675" s="120" t="e">
        <f>VLOOKUP($B2675,Information!$C$8:$F$15,4,FALSE)</f>
        <v>#N/A</v>
      </c>
      <c r="H2675" s="210" t="str">
        <f>TEXT(A2675,"ddd")</f>
        <v>Sat</v>
      </c>
    </row>
    <row r="2676" spans="1:8" x14ac:dyDescent="0.25">
      <c r="A2676" s="13"/>
      <c r="B2676" s="14"/>
      <c r="C2676" s="39"/>
      <c r="D2676" s="39"/>
      <c r="E2676" s="36" t="str">
        <f>IF(SUM(C2676:D2676)=0," ",SUM(C2676:D2676))</f>
        <v xml:space="preserve"> </v>
      </c>
      <c r="F2676" s="14"/>
      <c r="G2676" s="120" t="e">
        <f>VLOOKUP($B2676,Information!$C$8:$F$15,4,FALSE)</f>
        <v>#N/A</v>
      </c>
      <c r="H2676" s="210" t="str">
        <f>TEXT(A2676,"ddd")</f>
        <v>Sat</v>
      </c>
    </row>
    <row r="2677" spans="1:8" x14ac:dyDescent="0.25">
      <c r="A2677" s="13"/>
      <c r="B2677" s="14"/>
      <c r="C2677" s="39"/>
      <c r="D2677" s="39"/>
      <c r="E2677" s="36" t="str">
        <f>IF(SUM(C2677:D2677)=0," ",SUM(C2677:D2677))</f>
        <v xml:space="preserve"> </v>
      </c>
      <c r="F2677" s="14"/>
      <c r="G2677" s="120" t="e">
        <f>VLOOKUP($B2677,Information!$C$8:$F$15,4,FALSE)</f>
        <v>#N/A</v>
      </c>
      <c r="H2677" s="210" t="str">
        <f>TEXT(A2677,"ddd")</f>
        <v>Sat</v>
      </c>
    </row>
    <row r="2678" spans="1:8" x14ac:dyDescent="0.25">
      <c r="A2678" s="13"/>
      <c r="B2678" s="14"/>
      <c r="C2678" s="39"/>
      <c r="D2678" s="39"/>
      <c r="E2678" s="36" t="str">
        <f>IF(SUM(C2678:D2678)=0," ",SUM(C2678:D2678))</f>
        <v xml:space="preserve"> </v>
      </c>
      <c r="F2678" s="14"/>
      <c r="G2678" s="120" t="e">
        <f>VLOOKUP($B2678,Information!$C$8:$F$15,4,FALSE)</f>
        <v>#N/A</v>
      </c>
      <c r="H2678" s="210" t="str">
        <f>TEXT(A2678,"ddd")</f>
        <v>Sat</v>
      </c>
    </row>
    <row r="2679" spans="1:8" x14ac:dyDescent="0.25">
      <c r="A2679" s="13"/>
      <c r="B2679" s="14"/>
      <c r="C2679" s="39"/>
      <c r="D2679" s="39"/>
      <c r="E2679" s="36" t="str">
        <f>IF(SUM(C2679:D2679)=0," ",SUM(C2679:D2679))</f>
        <v xml:space="preserve"> </v>
      </c>
      <c r="F2679" s="14"/>
      <c r="G2679" s="120" t="e">
        <f>VLOOKUP($B2679,Information!$C$8:$F$15,4,FALSE)</f>
        <v>#N/A</v>
      </c>
      <c r="H2679" s="210" t="str">
        <f>TEXT(A2679,"ddd")</f>
        <v>Sat</v>
      </c>
    </row>
    <row r="2680" spans="1:8" x14ac:dyDescent="0.25">
      <c r="A2680" s="13"/>
      <c r="B2680" s="14"/>
      <c r="C2680" s="39"/>
      <c r="D2680" s="39"/>
      <c r="E2680" s="36" t="str">
        <f>IF(SUM(C2680:D2680)=0," ",SUM(C2680:D2680))</f>
        <v xml:space="preserve"> </v>
      </c>
      <c r="F2680" s="14"/>
      <c r="G2680" s="120" t="e">
        <f>VLOOKUP($B2680,Information!$C$8:$F$15,4,FALSE)</f>
        <v>#N/A</v>
      </c>
      <c r="H2680" s="210" t="str">
        <f>TEXT(A2680,"ddd")</f>
        <v>Sat</v>
      </c>
    </row>
    <row r="2681" spans="1:8" x14ac:dyDescent="0.25">
      <c r="A2681" s="13"/>
      <c r="B2681" s="14"/>
      <c r="C2681" s="39"/>
      <c r="D2681" s="39"/>
      <c r="E2681" s="36" t="str">
        <f>IF(SUM(C2681:D2681)=0," ",SUM(C2681:D2681))</f>
        <v xml:space="preserve"> </v>
      </c>
      <c r="F2681" s="14"/>
      <c r="G2681" s="120" t="e">
        <f>VLOOKUP($B2681,Information!$C$8:$F$15,4,FALSE)</f>
        <v>#N/A</v>
      </c>
      <c r="H2681" s="210" t="str">
        <f>TEXT(A2681,"ddd")</f>
        <v>Sat</v>
      </c>
    </row>
    <row r="2682" spans="1:8" x14ac:dyDescent="0.25">
      <c r="A2682" s="13"/>
      <c r="B2682" s="14"/>
      <c r="C2682" s="39"/>
      <c r="D2682" s="39"/>
      <c r="E2682" s="36" t="str">
        <f>IF(SUM(C2682:D2682)=0," ",SUM(C2682:D2682))</f>
        <v xml:space="preserve"> </v>
      </c>
      <c r="F2682" s="14"/>
      <c r="G2682" s="120" t="e">
        <f>VLOOKUP($B2682,Information!$C$8:$F$15,4,FALSE)</f>
        <v>#N/A</v>
      </c>
      <c r="H2682" s="210" t="str">
        <f>TEXT(A2682,"ddd")</f>
        <v>Sat</v>
      </c>
    </row>
    <row r="2683" spans="1:8" x14ac:dyDescent="0.25">
      <c r="A2683" s="13"/>
      <c r="B2683" s="14"/>
      <c r="C2683" s="39"/>
      <c r="D2683" s="39"/>
      <c r="E2683" s="36" t="str">
        <f>IF(SUM(C2683:D2683)=0," ",SUM(C2683:D2683))</f>
        <v xml:space="preserve"> </v>
      </c>
      <c r="F2683" s="14"/>
      <c r="G2683" s="120" t="e">
        <f>VLOOKUP($B2683,Information!$C$8:$F$15,4,FALSE)</f>
        <v>#N/A</v>
      </c>
      <c r="H2683" s="210" t="str">
        <f>TEXT(A2683,"ddd")</f>
        <v>Sat</v>
      </c>
    </row>
    <row r="2684" spans="1:8" x14ac:dyDescent="0.25">
      <c r="A2684" s="13"/>
      <c r="B2684" s="14"/>
      <c r="C2684" s="39"/>
      <c r="D2684" s="39"/>
      <c r="E2684" s="36" t="str">
        <f>IF(SUM(C2684:D2684)=0," ",SUM(C2684:D2684))</f>
        <v xml:space="preserve"> </v>
      </c>
      <c r="F2684" s="14"/>
      <c r="G2684" s="120" t="e">
        <f>VLOOKUP($B2684,Information!$C$8:$F$15,4,FALSE)</f>
        <v>#N/A</v>
      </c>
      <c r="H2684" s="210" t="str">
        <f>TEXT(A2684,"ddd")</f>
        <v>Sat</v>
      </c>
    </row>
    <row r="2685" spans="1:8" x14ac:dyDescent="0.25">
      <c r="A2685" s="13"/>
      <c r="B2685" s="14"/>
      <c r="C2685" s="39"/>
      <c r="D2685" s="39"/>
      <c r="E2685" s="36" t="str">
        <f>IF(SUM(C2685:D2685)=0," ",SUM(C2685:D2685))</f>
        <v xml:space="preserve"> </v>
      </c>
      <c r="F2685" s="14"/>
      <c r="G2685" s="120" t="e">
        <f>VLOOKUP($B2685,Information!$C$8:$F$15,4,FALSE)</f>
        <v>#N/A</v>
      </c>
      <c r="H2685" s="210" t="str">
        <f>TEXT(A2685,"ddd")</f>
        <v>Sat</v>
      </c>
    </row>
    <row r="2686" spans="1:8" x14ac:dyDescent="0.25">
      <c r="A2686" s="13"/>
      <c r="B2686" s="14"/>
      <c r="C2686" s="39"/>
      <c r="D2686" s="39"/>
      <c r="E2686" s="36" t="str">
        <f>IF(SUM(C2686:D2686)=0," ",SUM(C2686:D2686))</f>
        <v xml:space="preserve"> </v>
      </c>
      <c r="F2686" s="14"/>
      <c r="G2686" s="120" t="e">
        <f>VLOOKUP($B2686,Information!$C$8:$F$15,4,FALSE)</f>
        <v>#N/A</v>
      </c>
      <c r="H2686" s="210" t="str">
        <f>TEXT(A2686,"ddd")</f>
        <v>Sat</v>
      </c>
    </row>
    <row r="2687" spans="1:8" x14ac:dyDescent="0.25">
      <c r="A2687" s="13"/>
      <c r="B2687" s="14"/>
      <c r="C2687" s="39"/>
      <c r="D2687" s="39"/>
      <c r="E2687" s="36" t="str">
        <f>IF(SUM(C2687:D2687)=0," ",SUM(C2687:D2687))</f>
        <v xml:space="preserve"> </v>
      </c>
      <c r="F2687" s="14"/>
      <c r="G2687" s="120" t="e">
        <f>VLOOKUP($B2687,Information!$C$8:$F$15,4,FALSE)</f>
        <v>#N/A</v>
      </c>
      <c r="H2687" s="210" t="str">
        <f>TEXT(A2687,"ddd")</f>
        <v>Sat</v>
      </c>
    </row>
    <row r="2688" spans="1:8" x14ac:dyDescent="0.25">
      <c r="A2688" s="13"/>
      <c r="B2688" s="14"/>
      <c r="C2688" s="39"/>
      <c r="D2688" s="39"/>
      <c r="E2688" s="36" t="str">
        <f>IF(SUM(C2688:D2688)=0," ",SUM(C2688:D2688))</f>
        <v xml:space="preserve"> </v>
      </c>
      <c r="F2688" s="14"/>
      <c r="G2688" s="120" t="e">
        <f>VLOOKUP($B2688,Information!$C$8:$F$15,4,FALSE)</f>
        <v>#N/A</v>
      </c>
      <c r="H2688" s="210" t="str">
        <f>TEXT(A2688,"ddd")</f>
        <v>Sat</v>
      </c>
    </row>
    <row r="2689" spans="1:8" x14ac:dyDescent="0.25">
      <c r="A2689" s="13"/>
      <c r="B2689" s="14"/>
      <c r="C2689" s="39"/>
      <c r="D2689" s="39"/>
      <c r="E2689" s="36" t="str">
        <f>IF(SUM(C2689:D2689)=0," ",SUM(C2689:D2689))</f>
        <v xml:space="preserve"> </v>
      </c>
      <c r="F2689" s="14"/>
      <c r="G2689" s="120" t="e">
        <f>VLOOKUP($B2689,Information!$C$8:$F$15,4,FALSE)</f>
        <v>#N/A</v>
      </c>
      <c r="H2689" s="210" t="str">
        <f>TEXT(A2689,"ddd")</f>
        <v>Sat</v>
      </c>
    </row>
    <row r="2690" spans="1:8" x14ac:dyDescent="0.25">
      <c r="A2690" s="13"/>
      <c r="B2690" s="14"/>
      <c r="C2690" s="39"/>
      <c r="D2690" s="39"/>
      <c r="E2690" s="36" t="str">
        <f>IF(SUM(C2690:D2690)=0," ",SUM(C2690:D2690))</f>
        <v xml:space="preserve"> </v>
      </c>
      <c r="F2690" s="14"/>
      <c r="G2690" s="120" t="e">
        <f>VLOOKUP($B2690,Information!$C$8:$F$15,4,FALSE)</f>
        <v>#N/A</v>
      </c>
      <c r="H2690" s="210" t="str">
        <f>TEXT(A2690,"ddd")</f>
        <v>Sat</v>
      </c>
    </row>
    <row r="2691" spans="1:8" x14ac:dyDescent="0.25">
      <c r="A2691" s="13"/>
      <c r="B2691" s="14"/>
      <c r="C2691" s="39"/>
      <c r="D2691" s="39"/>
      <c r="E2691" s="36" t="str">
        <f>IF(SUM(C2691:D2691)=0," ",SUM(C2691:D2691))</f>
        <v xml:space="preserve"> </v>
      </c>
      <c r="F2691" s="14"/>
      <c r="G2691" s="120" t="e">
        <f>VLOOKUP($B2691,Information!$C$8:$F$15,4,FALSE)</f>
        <v>#N/A</v>
      </c>
      <c r="H2691" s="210" t="str">
        <f>TEXT(A2691,"ddd")</f>
        <v>Sat</v>
      </c>
    </row>
    <row r="2692" spans="1:8" x14ac:dyDescent="0.25">
      <c r="A2692" s="13"/>
      <c r="B2692" s="14"/>
      <c r="C2692" s="39"/>
      <c r="D2692" s="39"/>
      <c r="E2692" s="36" t="str">
        <f>IF(SUM(C2692:D2692)=0," ",SUM(C2692:D2692))</f>
        <v xml:space="preserve"> </v>
      </c>
      <c r="F2692" s="14"/>
      <c r="G2692" s="120" t="e">
        <f>VLOOKUP($B2692,Information!$C$8:$F$15,4,FALSE)</f>
        <v>#N/A</v>
      </c>
      <c r="H2692" s="210" t="str">
        <f>TEXT(A2692,"ddd")</f>
        <v>Sat</v>
      </c>
    </row>
    <row r="2693" spans="1:8" x14ac:dyDescent="0.25">
      <c r="A2693" s="13"/>
      <c r="B2693" s="14"/>
      <c r="C2693" s="39"/>
      <c r="D2693" s="39"/>
      <c r="E2693" s="36" t="str">
        <f>IF(SUM(C2693:D2693)=0," ",SUM(C2693:D2693))</f>
        <v xml:space="preserve"> </v>
      </c>
      <c r="F2693" s="14"/>
      <c r="G2693" s="120" t="e">
        <f>VLOOKUP($B2693,Information!$C$8:$F$15,4,FALSE)</f>
        <v>#N/A</v>
      </c>
      <c r="H2693" s="210" t="str">
        <f>TEXT(A2693,"ddd")</f>
        <v>Sat</v>
      </c>
    </row>
    <row r="2694" spans="1:8" x14ac:dyDescent="0.25">
      <c r="A2694" s="13"/>
      <c r="B2694" s="14"/>
      <c r="C2694" s="39"/>
      <c r="D2694" s="39"/>
      <c r="E2694" s="36" t="str">
        <f>IF(SUM(C2694:D2694)=0," ",SUM(C2694:D2694))</f>
        <v xml:space="preserve"> </v>
      </c>
      <c r="F2694" s="14"/>
      <c r="G2694" s="120" t="e">
        <f>VLOOKUP($B2694,Information!$C$8:$F$15,4,FALSE)</f>
        <v>#N/A</v>
      </c>
      <c r="H2694" s="210" t="str">
        <f>TEXT(A2694,"ddd")</f>
        <v>Sat</v>
      </c>
    </row>
    <row r="2695" spans="1:8" x14ac:dyDescent="0.25">
      <c r="A2695" s="13"/>
      <c r="B2695" s="14"/>
      <c r="C2695" s="39"/>
      <c r="D2695" s="39"/>
      <c r="E2695" s="36" t="str">
        <f>IF(SUM(C2695:D2695)=0," ",SUM(C2695:D2695))</f>
        <v xml:space="preserve"> </v>
      </c>
      <c r="F2695" s="14"/>
      <c r="G2695" s="120" t="e">
        <f>VLOOKUP($B2695,Information!$C$8:$F$15,4,FALSE)</f>
        <v>#N/A</v>
      </c>
      <c r="H2695" s="210" t="str">
        <f>TEXT(A2695,"ddd")</f>
        <v>Sat</v>
      </c>
    </row>
    <row r="2696" spans="1:8" x14ac:dyDescent="0.25">
      <c r="A2696" s="13"/>
      <c r="B2696" s="14"/>
      <c r="C2696" s="39"/>
      <c r="D2696" s="39"/>
      <c r="E2696" s="36" t="str">
        <f>IF(SUM(C2696:D2696)=0," ",SUM(C2696:D2696))</f>
        <v xml:space="preserve"> </v>
      </c>
      <c r="F2696" s="14"/>
      <c r="G2696" s="120" t="e">
        <f>VLOOKUP($B2696,Information!$C$8:$F$15,4,FALSE)</f>
        <v>#N/A</v>
      </c>
      <c r="H2696" s="210" t="str">
        <f>TEXT(A2696,"ddd")</f>
        <v>Sat</v>
      </c>
    </row>
    <row r="2697" spans="1:8" x14ac:dyDescent="0.25">
      <c r="A2697" s="13"/>
      <c r="B2697" s="14"/>
      <c r="C2697" s="39"/>
      <c r="D2697" s="39"/>
      <c r="E2697" s="36" t="str">
        <f>IF(SUM(C2697:D2697)=0," ",SUM(C2697:D2697))</f>
        <v xml:space="preserve"> </v>
      </c>
      <c r="F2697" s="14"/>
      <c r="G2697" s="120" t="e">
        <f>VLOOKUP($B2697,Information!$C$8:$F$15,4,FALSE)</f>
        <v>#N/A</v>
      </c>
      <c r="H2697" s="210" t="str">
        <f>TEXT(A2697,"ddd")</f>
        <v>Sat</v>
      </c>
    </row>
    <row r="2698" spans="1:8" x14ac:dyDescent="0.25">
      <c r="A2698" s="13"/>
      <c r="B2698" s="14"/>
      <c r="C2698" s="39"/>
      <c r="D2698" s="39"/>
      <c r="E2698" s="36" t="str">
        <f>IF(SUM(C2698:D2698)=0," ",SUM(C2698:D2698))</f>
        <v xml:space="preserve"> </v>
      </c>
      <c r="F2698" s="14"/>
      <c r="G2698" s="120" t="e">
        <f>VLOOKUP($B2698,Information!$C$8:$F$15,4,FALSE)</f>
        <v>#N/A</v>
      </c>
      <c r="H2698" s="210" t="str">
        <f>TEXT(A2698,"ddd")</f>
        <v>Sat</v>
      </c>
    </row>
    <row r="2699" spans="1:8" x14ac:dyDescent="0.25">
      <c r="A2699" s="13"/>
      <c r="B2699" s="14"/>
      <c r="C2699" s="39"/>
      <c r="D2699" s="39"/>
      <c r="E2699" s="36" t="str">
        <f>IF(SUM(C2699:D2699)=0," ",SUM(C2699:D2699))</f>
        <v xml:space="preserve"> </v>
      </c>
      <c r="F2699" s="14"/>
      <c r="G2699" s="120" t="e">
        <f>VLOOKUP($B2699,Information!$C$8:$F$15,4,FALSE)</f>
        <v>#N/A</v>
      </c>
      <c r="H2699" s="210" t="str">
        <f>TEXT(A2699,"ddd")</f>
        <v>Sat</v>
      </c>
    </row>
    <row r="2700" spans="1:8" x14ac:dyDescent="0.25">
      <c r="A2700" s="13"/>
      <c r="B2700" s="14"/>
      <c r="C2700" s="39"/>
      <c r="D2700" s="39"/>
      <c r="E2700" s="36" t="str">
        <f>IF(SUM(C2700:D2700)=0," ",SUM(C2700:D2700))</f>
        <v xml:space="preserve"> </v>
      </c>
      <c r="F2700" s="14"/>
      <c r="G2700" s="120" t="e">
        <f>VLOOKUP($B2700,Information!$C$8:$F$15,4,FALSE)</f>
        <v>#N/A</v>
      </c>
      <c r="H2700" s="210" t="str">
        <f>TEXT(A2700,"ddd")</f>
        <v>Sat</v>
      </c>
    </row>
    <row r="2701" spans="1:8" x14ac:dyDescent="0.25">
      <c r="A2701" s="13"/>
      <c r="B2701" s="14"/>
      <c r="C2701" s="39"/>
      <c r="D2701" s="39"/>
      <c r="E2701" s="36" t="str">
        <f>IF(SUM(C2701:D2701)=0," ",SUM(C2701:D2701))</f>
        <v xml:space="preserve"> </v>
      </c>
      <c r="F2701" s="14"/>
      <c r="G2701" s="120" t="e">
        <f>VLOOKUP($B2701,Information!$C$8:$F$15,4,FALSE)</f>
        <v>#N/A</v>
      </c>
      <c r="H2701" s="210" t="str">
        <f>TEXT(A2701,"ddd")</f>
        <v>Sat</v>
      </c>
    </row>
    <row r="2702" spans="1:8" x14ac:dyDescent="0.25">
      <c r="A2702" s="13"/>
      <c r="B2702" s="14"/>
      <c r="C2702" s="39"/>
      <c r="D2702" s="39"/>
      <c r="E2702" s="36" t="str">
        <f>IF(SUM(C2702:D2702)=0," ",SUM(C2702:D2702))</f>
        <v xml:space="preserve"> </v>
      </c>
      <c r="F2702" s="14"/>
      <c r="G2702" s="120" t="e">
        <f>VLOOKUP($B2702,Information!$C$8:$F$15,4,FALSE)</f>
        <v>#N/A</v>
      </c>
      <c r="H2702" s="210" t="str">
        <f>TEXT(A2702,"ddd")</f>
        <v>Sat</v>
      </c>
    </row>
    <row r="2703" spans="1:8" x14ac:dyDescent="0.25">
      <c r="A2703" s="13"/>
      <c r="B2703" s="14"/>
      <c r="C2703" s="39"/>
      <c r="D2703" s="39"/>
      <c r="E2703" s="36" t="str">
        <f>IF(SUM(C2703:D2703)=0," ",SUM(C2703:D2703))</f>
        <v xml:space="preserve"> </v>
      </c>
      <c r="F2703" s="14"/>
      <c r="G2703" s="120" t="e">
        <f>VLOOKUP($B2703,Information!$C$8:$F$15,4,FALSE)</f>
        <v>#N/A</v>
      </c>
      <c r="H2703" s="210" t="str">
        <f>TEXT(A2703,"ddd")</f>
        <v>Sat</v>
      </c>
    </row>
    <row r="2704" spans="1:8" x14ac:dyDescent="0.25">
      <c r="A2704" s="13"/>
      <c r="B2704" s="14"/>
      <c r="C2704" s="39"/>
      <c r="D2704" s="39"/>
      <c r="E2704" s="36" t="str">
        <f>IF(SUM(C2704:D2704)=0," ",SUM(C2704:D2704))</f>
        <v xml:space="preserve"> </v>
      </c>
      <c r="F2704" s="14"/>
      <c r="G2704" s="120" t="e">
        <f>VLOOKUP($B2704,Information!$C$8:$F$15,4,FALSE)</f>
        <v>#N/A</v>
      </c>
      <c r="H2704" s="210" t="str">
        <f>TEXT(A2704,"ddd")</f>
        <v>Sat</v>
      </c>
    </row>
    <row r="2705" spans="1:8" x14ac:dyDescent="0.25">
      <c r="A2705" s="13"/>
      <c r="B2705" s="14"/>
      <c r="C2705" s="39"/>
      <c r="D2705" s="39"/>
      <c r="E2705" s="36" t="str">
        <f>IF(SUM(C2705:D2705)=0," ",SUM(C2705:D2705))</f>
        <v xml:space="preserve"> </v>
      </c>
      <c r="F2705" s="14"/>
      <c r="G2705" s="120" t="e">
        <f>VLOOKUP($B2705,Information!$C$8:$F$15,4,FALSE)</f>
        <v>#N/A</v>
      </c>
      <c r="H2705" s="210" t="str">
        <f>TEXT(A2705,"ddd")</f>
        <v>Sat</v>
      </c>
    </row>
    <row r="2706" spans="1:8" x14ac:dyDescent="0.25">
      <c r="A2706" s="13"/>
      <c r="B2706" s="14"/>
      <c r="C2706" s="39"/>
      <c r="D2706" s="39"/>
      <c r="E2706" s="36" t="str">
        <f>IF(SUM(C2706:D2706)=0," ",SUM(C2706:D2706))</f>
        <v xml:space="preserve"> </v>
      </c>
      <c r="F2706" s="14"/>
      <c r="G2706" s="120" t="e">
        <f>VLOOKUP($B2706,Information!$C$8:$F$15,4,FALSE)</f>
        <v>#N/A</v>
      </c>
      <c r="H2706" s="210" t="str">
        <f>TEXT(A2706,"ddd")</f>
        <v>Sat</v>
      </c>
    </row>
    <row r="2707" spans="1:8" x14ac:dyDescent="0.25">
      <c r="A2707" s="13"/>
      <c r="B2707" s="14"/>
      <c r="C2707" s="39"/>
      <c r="D2707" s="39"/>
      <c r="E2707" s="36" t="str">
        <f>IF(SUM(C2707:D2707)=0," ",SUM(C2707:D2707))</f>
        <v xml:space="preserve"> </v>
      </c>
      <c r="F2707" s="14"/>
      <c r="G2707" s="120" t="e">
        <f>VLOOKUP($B2707,Information!$C$8:$F$15,4,FALSE)</f>
        <v>#N/A</v>
      </c>
      <c r="H2707" s="210" t="str">
        <f>TEXT(A2707,"ddd")</f>
        <v>Sat</v>
      </c>
    </row>
    <row r="2708" spans="1:8" x14ac:dyDescent="0.25">
      <c r="A2708" s="13"/>
      <c r="B2708" s="14"/>
      <c r="C2708" s="39"/>
      <c r="D2708" s="39"/>
      <c r="E2708" s="36" t="str">
        <f>IF(SUM(C2708:D2708)=0," ",SUM(C2708:D2708))</f>
        <v xml:space="preserve"> </v>
      </c>
      <c r="F2708" s="14"/>
      <c r="G2708" s="120" t="e">
        <f>VLOOKUP($B2708,Information!$C$8:$F$15,4,FALSE)</f>
        <v>#N/A</v>
      </c>
      <c r="H2708" s="210" t="str">
        <f>TEXT(A2708,"ddd")</f>
        <v>Sat</v>
      </c>
    </row>
    <row r="2709" spans="1:8" x14ac:dyDescent="0.25">
      <c r="A2709" s="13"/>
      <c r="B2709" s="14"/>
      <c r="C2709" s="39"/>
      <c r="D2709" s="39"/>
      <c r="E2709" s="36" t="str">
        <f>IF(SUM(C2709:D2709)=0," ",SUM(C2709:D2709))</f>
        <v xml:space="preserve"> </v>
      </c>
      <c r="F2709" s="14"/>
      <c r="G2709" s="120" t="e">
        <f>VLOOKUP($B2709,Information!$C$8:$F$15,4,FALSE)</f>
        <v>#N/A</v>
      </c>
      <c r="H2709" s="210" t="str">
        <f>TEXT(A2709,"ddd")</f>
        <v>Sat</v>
      </c>
    </row>
    <row r="2710" spans="1:8" x14ac:dyDescent="0.25">
      <c r="A2710" s="13"/>
      <c r="B2710" s="14"/>
      <c r="C2710" s="39"/>
      <c r="D2710" s="39"/>
      <c r="E2710" s="36" t="str">
        <f>IF(SUM(C2710:D2710)=0," ",SUM(C2710:D2710))</f>
        <v xml:space="preserve"> </v>
      </c>
      <c r="F2710" s="14"/>
      <c r="G2710" s="120" t="e">
        <f>VLOOKUP($B2710,Information!$C$8:$F$15,4,FALSE)</f>
        <v>#N/A</v>
      </c>
      <c r="H2710" s="210" t="str">
        <f>TEXT(A2710,"ddd")</f>
        <v>Sat</v>
      </c>
    </row>
    <row r="2711" spans="1:8" x14ac:dyDescent="0.25">
      <c r="A2711" s="13"/>
      <c r="B2711" s="14"/>
      <c r="C2711" s="39"/>
      <c r="D2711" s="39"/>
      <c r="E2711" s="36" t="str">
        <f>IF(SUM(C2711:D2711)=0," ",SUM(C2711:D2711))</f>
        <v xml:space="preserve"> </v>
      </c>
      <c r="F2711" s="14"/>
      <c r="G2711" s="120" t="e">
        <f>VLOOKUP($B2711,Information!$C$8:$F$15,4,FALSE)</f>
        <v>#N/A</v>
      </c>
      <c r="H2711" s="210" t="str">
        <f>TEXT(A2711,"ddd")</f>
        <v>Sat</v>
      </c>
    </row>
    <row r="2712" spans="1:8" x14ac:dyDescent="0.25">
      <c r="A2712" s="13"/>
      <c r="B2712" s="14"/>
      <c r="C2712" s="39"/>
      <c r="D2712" s="39"/>
      <c r="E2712" s="36" t="str">
        <f>IF(SUM(C2712:D2712)=0," ",SUM(C2712:D2712))</f>
        <v xml:space="preserve"> </v>
      </c>
      <c r="F2712" s="14"/>
      <c r="G2712" s="120" t="e">
        <f>VLOOKUP($B2712,Information!$C$8:$F$15,4,FALSE)</f>
        <v>#N/A</v>
      </c>
      <c r="H2712" s="210" t="str">
        <f>TEXT(A2712,"ddd")</f>
        <v>Sat</v>
      </c>
    </row>
    <row r="2713" spans="1:8" x14ac:dyDescent="0.25">
      <c r="A2713" s="13"/>
      <c r="B2713" s="14"/>
      <c r="C2713" s="39"/>
      <c r="D2713" s="39"/>
      <c r="E2713" s="36" t="str">
        <f>IF(SUM(C2713:D2713)=0," ",SUM(C2713:D2713))</f>
        <v xml:space="preserve"> </v>
      </c>
      <c r="F2713" s="14"/>
      <c r="G2713" s="120" t="e">
        <f>VLOOKUP($B2713,Information!$C$8:$F$15,4,FALSE)</f>
        <v>#N/A</v>
      </c>
      <c r="H2713" s="210" t="str">
        <f>TEXT(A2713,"ddd")</f>
        <v>Sat</v>
      </c>
    </row>
    <row r="2714" spans="1:8" x14ac:dyDescent="0.25">
      <c r="A2714" s="13"/>
      <c r="B2714" s="14"/>
      <c r="C2714" s="39"/>
      <c r="D2714" s="39"/>
      <c r="E2714" s="36" t="str">
        <f>IF(SUM(C2714:D2714)=0," ",SUM(C2714:D2714))</f>
        <v xml:space="preserve"> </v>
      </c>
      <c r="F2714" s="14"/>
      <c r="G2714" s="120" t="e">
        <f>VLOOKUP($B2714,Information!$C$8:$F$15,4,FALSE)</f>
        <v>#N/A</v>
      </c>
      <c r="H2714" s="210" t="str">
        <f>TEXT(A2714,"ddd")</f>
        <v>Sat</v>
      </c>
    </row>
    <row r="2715" spans="1:8" x14ac:dyDescent="0.25">
      <c r="A2715" s="13"/>
      <c r="B2715" s="14"/>
      <c r="C2715" s="39"/>
      <c r="D2715" s="39"/>
      <c r="E2715" s="36" t="str">
        <f>IF(SUM(C2715:D2715)=0," ",SUM(C2715:D2715))</f>
        <v xml:space="preserve"> </v>
      </c>
      <c r="F2715" s="14"/>
      <c r="G2715" s="120" t="e">
        <f>VLOOKUP($B2715,Information!$C$8:$F$15,4,FALSE)</f>
        <v>#N/A</v>
      </c>
      <c r="H2715" s="210" t="str">
        <f>TEXT(A2715,"ddd")</f>
        <v>Sat</v>
      </c>
    </row>
    <row r="2716" spans="1:8" x14ac:dyDescent="0.25">
      <c r="A2716" s="13"/>
      <c r="B2716" s="14"/>
      <c r="C2716" s="39"/>
      <c r="D2716" s="39"/>
      <c r="E2716" s="36" t="str">
        <f>IF(SUM(C2716:D2716)=0," ",SUM(C2716:D2716))</f>
        <v xml:space="preserve"> </v>
      </c>
      <c r="F2716" s="14"/>
      <c r="G2716" s="120" t="e">
        <f>VLOOKUP($B2716,Information!$C$8:$F$15,4,FALSE)</f>
        <v>#N/A</v>
      </c>
      <c r="H2716" s="210" t="str">
        <f>TEXT(A2716,"ddd")</f>
        <v>Sat</v>
      </c>
    </row>
    <row r="2717" spans="1:8" x14ac:dyDescent="0.25">
      <c r="A2717" s="13"/>
      <c r="B2717" s="14"/>
      <c r="C2717" s="39"/>
      <c r="D2717" s="39"/>
      <c r="E2717" s="36" t="str">
        <f>IF(SUM(C2717:D2717)=0," ",SUM(C2717:D2717))</f>
        <v xml:space="preserve"> </v>
      </c>
      <c r="F2717" s="14"/>
      <c r="G2717" s="120" t="e">
        <f>VLOOKUP($B2717,Information!$C$8:$F$15,4,FALSE)</f>
        <v>#N/A</v>
      </c>
      <c r="H2717" s="210" t="str">
        <f>TEXT(A2717,"ddd")</f>
        <v>Sat</v>
      </c>
    </row>
    <row r="2718" spans="1:8" x14ac:dyDescent="0.25">
      <c r="A2718" s="13"/>
      <c r="B2718" s="14"/>
      <c r="C2718" s="39"/>
      <c r="D2718" s="39"/>
      <c r="E2718" s="36" t="str">
        <f>IF(SUM(C2718:D2718)=0," ",SUM(C2718:D2718))</f>
        <v xml:space="preserve"> </v>
      </c>
      <c r="F2718" s="14"/>
      <c r="G2718" s="120" t="e">
        <f>VLOOKUP($B2718,Information!$C$8:$F$15,4,FALSE)</f>
        <v>#N/A</v>
      </c>
      <c r="H2718" s="210" t="str">
        <f>TEXT(A2718,"ddd")</f>
        <v>Sat</v>
      </c>
    </row>
    <row r="2719" spans="1:8" x14ac:dyDescent="0.25">
      <c r="A2719" s="13"/>
      <c r="B2719" s="14"/>
      <c r="C2719" s="39"/>
      <c r="D2719" s="39"/>
      <c r="E2719" s="36" t="str">
        <f>IF(SUM(C2719:D2719)=0," ",SUM(C2719:D2719))</f>
        <v xml:space="preserve"> </v>
      </c>
      <c r="F2719" s="14"/>
      <c r="G2719" s="120" t="e">
        <f>VLOOKUP($B2719,Information!$C$8:$F$15,4,FALSE)</f>
        <v>#N/A</v>
      </c>
      <c r="H2719" s="210" t="str">
        <f>TEXT(A2719,"ddd")</f>
        <v>Sat</v>
      </c>
    </row>
    <row r="2720" spans="1:8" x14ac:dyDescent="0.25">
      <c r="A2720" s="13"/>
      <c r="B2720" s="14"/>
      <c r="C2720" s="39"/>
      <c r="D2720" s="39"/>
      <c r="E2720" s="36" t="str">
        <f>IF(SUM(C2720:D2720)=0," ",SUM(C2720:D2720))</f>
        <v xml:space="preserve"> </v>
      </c>
      <c r="F2720" s="14"/>
      <c r="G2720" s="120" t="e">
        <f>VLOOKUP($B2720,Information!$C$8:$F$15,4,FALSE)</f>
        <v>#N/A</v>
      </c>
      <c r="H2720" s="210" t="str">
        <f>TEXT(A2720,"ddd")</f>
        <v>Sat</v>
      </c>
    </row>
    <row r="2721" spans="1:8" x14ac:dyDescent="0.25">
      <c r="A2721" s="13"/>
      <c r="B2721" s="14"/>
      <c r="C2721" s="39"/>
      <c r="D2721" s="39"/>
      <c r="E2721" s="36" t="str">
        <f>IF(SUM(C2721:D2721)=0," ",SUM(C2721:D2721))</f>
        <v xml:space="preserve"> </v>
      </c>
      <c r="F2721" s="14"/>
      <c r="G2721" s="120" t="e">
        <f>VLOOKUP($B2721,Information!$C$8:$F$15,4,FALSE)</f>
        <v>#N/A</v>
      </c>
      <c r="H2721" s="210" t="str">
        <f>TEXT(A2721,"ddd")</f>
        <v>Sat</v>
      </c>
    </row>
    <row r="2722" spans="1:8" x14ac:dyDescent="0.25">
      <c r="A2722" s="13"/>
      <c r="B2722" s="14"/>
      <c r="C2722" s="39"/>
      <c r="D2722" s="39"/>
      <c r="E2722" s="36" t="str">
        <f>IF(SUM(C2722:D2722)=0," ",SUM(C2722:D2722))</f>
        <v xml:space="preserve"> </v>
      </c>
      <c r="F2722" s="14"/>
      <c r="G2722" s="120" t="e">
        <f>VLOOKUP($B2722,Information!$C$8:$F$15,4,FALSE)</f>
        <v>#N/A</v>
      </c>
      <c r="H2722" s="210" t="str">
        <f>TEXT(A2722,"ddd")</f>
        <v>Sat</v>
      </c>
    </row>
    <row r="2723" spans="1:8" x14ac:dyDescent="0.25">
      <c r="A2723" s="13"/>
      <c r="B2723" s="14"/>
      <c r="C2723" s="39"/>
      <c r="D2723" s="39"/>
      <c r="E2723" s="36" t="str">
        <f>IF(SUM(C2723:D2723)=0," ",SUM(C2723:D2723))</f>
        <v xml:space="preserve"> </v>
      </c>
      <c r="F2723" s="14"/>
      <c r="G2723" s="120" t="e">
        <f>VLOOKUP($B2723,Information!$C$8:$F$15,4,FALSE)</f>
        <v>#N/A</v>
      </c>
      <c r="H2723" s="210" t="str">
        <f>TEXT(A2723,"ddd")</f>
        <v>Sat</v>
      </c>
    </row>
    <row r="2724" spans="1:8" x14ac:dyDescent="0.25">
      <c r="A2724" s="13"/>
      <c r="B2724" s="14"/>
      <c r="C2724" s="39"/>
      <c r="D2724" s="39"/>
      <c r="E2724" s="36" t="str">
        <f>IF(SUM(C2724:D2724)=0," ",SUM(C2724:D2724))</f>
        <v xml:space="preserve"> </v>
      </c>
      <c r="F2724" s="14"/>
      <c r="G2724" s="120" t="e">
        <f>VLOOKUP($B2724,Information!$C$8:$F$15,4,FALSE)</f>
        <v>#N/A</v>
      </c>
      <c r="H2724" s="210" t="str">
        <f>TEXT(A2724,"ddd")</f>
        <v>Sat</v>
      </c>
    </row>
    <row r="2725" spans="1:8" x14ac:dyDescent="0.25">
      <c r="A2725" s="13"/>
      <c r="B2725" s="14"/>
      <c r="C2725" s="39"/>
      <c r="D2725" s="39"/>
      <c r="E2725" s="36" t="str">
        <f>IF(SUM(C2725:D2725)=0," ",SUM(C2725:D2725))</f>
        <v xml:space="preserve"> </v>
      </c>
      <c r="F2725" s="14"/>
      <c r="G2725" s="120" t="e">
        <f>VLOOKUP($B2725,Information!$C$8:$F$15,4,FALSE)</f>
        <v>#N/A</v>
      </c>
      <c r="H2725" s="210" t="str">
        <f>TEXT(A2725,"ddd")</f>
        <v>Sat</v>
      </c>
    </row>
    <row r="2726" spans="1:8" x14ac:dyDescent="0.25">
      <c r="A2726" s="13"/>
      <c r="B2726" s="14"/>
      <c r="C2726" s="39"/>
      <c r="D2726" s="39"/>
      <c r="E2726" s="36" t="str">
        <f>IF(SUM(C2726:D2726)=0," ",SUM(C2726:D2726))</f>
        <v xml:space="preserve"> </v>
      </c>
      <c r="F2726" s="14"/>
      <c r="G2726" s="120" t="e">
        <f>VLOOKUP($B2726,Information!$C$8:$F$15,4,FALSE)</f>
        <v>#N/A</v>
      </c>
      <c r="H2726" s="210" t="str">
        <f>TEXT(A2726,"ddd")</f>
        <v>Sat</v>
      </c>
    </row>
    <row r="2727" spans="1:8" x14ac:dyDescent="0.25">
      <c r="A2727" s="13"/>
      <c r="B2727" s="14"/>
      <c r="C2727" s="39"/>
      <c r="D2727" s="39"/>
      <c r="E2727" s="36" t="str">
        <f>IF(SUM(C2727:D2727)=0," ",SUM(C2727:D2727))</f>
        <v xml:space="preserve"> </v>
      </c>
      <c r="F2727" s="14"/>
      <c r="G2727" s="120" t="e">
        <f>VLOOKUP($B2727,Information!$C$8:$F$15,4,FALSE)</f>
        <v>#N/A</v>
      </c>
      <c r="H2727" s="210" t="str">
        <f>TEXT(A2727,"ddd")</f>
        <v>Sat</v>
      </c>
    </row>
    <row r="2728" spans="1:8" x14ac:dyDescent="0.25">
      <c r="A2728" s="13"/>
      <c r="B2728" s="14"/>
      <c r="C2728" s="39"/>
      <c r="D2728" s="39"/>
      <c r="E2728" s="36" t="str">
        <f>IF(SUM(C2728:D2728)=0," ",SUM(C2728:D2728))</f>
        <v xml:space="preserve"> </v>
      </c>
      <c r="F2728" s="14"/>
      <c r="G2728" s="120" t="e">
        <f>VLOOKUP($B2728,Information!$C$8:$F$15,4,FALSE)</f>
        <v>#N/A</v>
      </c>
      <c r="H2728" s="210" t="str">
        <f>TEXT(A2728,"ddd")</f>
        <v>Sat</v>
      </c>
    </row>
    <row r="2729" spans="1:8" x14ac:dyDescent="0.25">
      <c r="A2729" s="13"/>
      <c r="B2729" s="14"/>
      <c r="C2729" s="39"/>
      <c r="D2729" s="39"/>
      <c r="E2729" s="36" t="str">
        <f>IF(SUM(C2729:D2729)=0," ",SUM(C2729:D2729))</f>
        <v xml:space="preserve"> </v>
      </c>
      <c r="F2729" s="14"/>
      <c r="G2729" s="120" t="e">
        <f>VLOOKUP($B2729,Information!$C$8:$F$15,4,FALSE)</f>
        <v>#N/A</v>
      </c>
      <c r="H2729" s="210" t="str">
        <f>TEXT(A2729,"ddd")</f>
        <v>Sat</v>
      </c>
    </row>
    <row r="2730" spans="1:8" x14ac:dyDescent="0.25">
      <c r="A2730" s="13"/>
      <c r="B2730" s="14"/>
      <c r="C2730" s="39"/>
      <c r="D2730" s="39"/>
      <c r="E2730" s="36" t="str">
        <f>IF(SUM(C2730:D2730)=0," ",SUM(C2730:D2730))</f>
        <v xml:space="preserve"> </v>
      </c>
      <c r="F2730" s="14"/>
      <c r="G2730" s="120" t="e">
        <f>VLOOKUP($B2730,Information!$C$8:$F$15,4,FALSE)</f>
        <v>#N/A</v>
      </c>
      <c r="H2730" s="210" t="str">
        <f>TEXT(A2730,"ddd")</f>
        <v>Sat</v>
      </c>
    </row>
    <row r="2731" spans="1:8" x14ac:dyDescent="0.25">
      <c r="A2731" s="13"/>
      <c r="B2731" s="14"/>
      <c r="C2731" s="39"/>
      <c r="D2731" s="39"/>
      <c r="E2731" s="36" t="str">
        <f>IF(SUM(C2731:D2731)=0," ",SUM(C2731:D2731))</f>
        <v xml:space="preserve"> </v>
      </c>
      <c r="F2731" s="14"/>
      <c r="G2731" s="120" t="e">
        <f>VLOOKUP($B2731,Information!$C$8:$F$15,4,FALSE)</f>
        <v>#N/A</v>
      </c>
      <c r="H2731" s="210" t="str">
        <f>TEXT(A2731,"ddd")</f>
        <v>Sat</v>
      </c>
    </row>
    <row r="2732" spans="1:8" x14ac:dyDescent="0.25">
      <c r="A2732" s="13"/>
      <c r="B2732" s="14"/>
      <c r="C2732" s="39"/>
      <c r="D2732" s="39"/>
      <c r="E2732" s="36" t="str">
        <f>IF(SUM(C2732:D2732)=0," ",SUM(C2732:D2732))</f>
        <v xml:space="preserve"> </v>
      </c>
      <c r="F2732" s="14"/>
      <c r="G2732" s="120" t="e">
        <f>VLOOKUP($B2732,Information!$C$8:$F$15,4,FALSE)</f>
        <v>#N/A</v>
      </c>
      <c r="H2732" s="210" t="str">
        <f>TEXT(A2732,"ddd")</f>
        <v>Sat</v>
      </c>
    </row>
    <row r="2733" spans="1:8" x14ac:dyDescent="0.25">
      <c r="A2733" s="13"/>
      <c r="B2733" s="14"/>
      <c r="C2733" s="39"/>
      <c r="D2733" s="39"/>
      <c r="E2733" s="36" t="str">
        <f>IF(SUM(C2733:D2733)=0," ",SUM(C2733:D2733))</f>
        <v xml:space="preserve"> </v>
      </c>
      <c r="F2733" s="14"/>
      <c r="G2733" s="120" t="e">
        <f>VLOOKUP($B2733,Information!$C$8:$F$15,4,FALSE)</f>
        <v>#N/A</v>
      </c>
      <c r="H2733" s="210" t="str">
        <f>TEXT(A2733,"ddd")</f>
        <v>Sat</v>
      </c>
    </row>
    <row r="2734" spans="1:8" x14ac:dyDescent="0.25">
      <c r="A2734" s="13"/>
      <c r="B2734" s="14"/>
      <c r="C2734" s="39"/>
      <c r="D2734" s="39"/>
      <c r="E2734" s="36" t="str">
        <f>IF(SUM(C2734:D2734)=0," ",SUM(C2734:D2734))</f>
        <v xml:space="preserve"> </v>
      </c>
      <c r="F2734" s="14"/>
      <c r="G2734" s="120" t="e">
        <f>VLOOKUP($B2734,Information!$C$8:$F$15,4,FALSE)</f>
        <v>#N/A</v>
      </c>
      <c r="H2734" s="210" t="str">
        <f>TEXT(A2734,"ddd")</f>
        <v>Sat</v>
      </c>
    </row>
    <row r="2735" spans="1:8" x14ac:dyDescent="0.25">
      <c r="A2735" s="13"/>
      <c r="B2735" s="14"/>
      <c r="C2735" s="39"/>
      <c r="D2735" s="39"/>
      <c r="E2735" s="36" t="str">
        <f>IF(SUM(C2735:D2735)=0," ",SUM(C2735:D2735))</f>
        <v xml:space="preserve"> </v>
      </c>
      <c r="F2735" s="14"/>
      <c r="G2735" s="120" t="e">
        <f>VLOOKUP($B2735,Information!$C$8:$F$15,4,FALSE)</f>
        <v>#N/A</v>
      </c>
      <c r="H2735" s="210" t="str">
        <f>TEXT(A2735,"ddd")</f>
        <v>Sat</v>
      </c>
    </row>
    <row r="2736" spans="1:8" x14ac:dyDescent="0.25">
      <c r="A2736" s="13"/>
      <c r="B2736" s="14"/>
      <c r="C2736" s="39"/>
      <c r="D2736" s="39"/>
      <c r="E2736" s="36" t="str">
        <f>IF(SUM(C2736:D2736)=0," ",SUM(C2736:D2736))</f>
        <v xml:space="preserve"> </v>
      </c>
      <c r="F2736" s="14"/>
      <c r="G2736" s="120" t="e">
        <f>VLOOKUP($B2736,Information!$C$8:$F$15,4,FALSE)</f>
        <v>#N/A</v>
      </c>
      <c r="H2736" s="210" t="str">
        <f>TEXT(A2736,"ddd")</f>
        <v>Sat</v>
      </c>
    </row>
    <row r="2737" spans="1:8" x14ac:dyDescent="0.25">
      <c r="A2737" s="13"/>
      <c r="B2737" s="14"/>
      <c r="C2737" s="39"/>
      <c r="D2737" s="39"/>
      <c r="E2737" s="36" t="str">
        <f>IF(SUM(C2737:D2737)=0," ",SUM(C2737:D2737))</f>
        <v xml:space="preserve"> </v>
      </c>
      <c r="F2737" s="14"/>
      <c r="G2737" s="120" t="e">
        <f>VLOOKUP($B2737,Information!$C$8:$F$15,4,FALSE)</f>
        <v>#N/A</v>
      </c>
      <c r="H2737" s="210" t="str">
        <f>TEXT(A2737,"ddd")</f>
        <v>Sat</v>
      </c>
    </row>
    <row r="2738" spans="1:8" x14ac:dyDescent="0.25">
      <c r="A2738" s="13"/>
      <c r="B2738" s="14"/>
      <c r="C2738" s="39"/>
      <c r="D2738" s="39"/>
      <c r="E2738" s="36" t="str">
        <f>IF(SUM(C2738:D2738)=0," ",SUM(C2738:D2738))</f>
        <v xml:space="preserve"> </v>
      </c>
      <c r="F2738" s="14"/>
      <c r="G2738" s="120" t="e">
        <f>VLOOKUP($B2738,Information!$C$8:$F$15,4,FALSE)</f>
        <v>#N/A</v>
      </c>
      <c r="H2738" s="210" t="str">
        <f>TEXT(A2738,"ddd")</f>
        <v>Sat</v>
      </c>
    </row>
    <row r="2739" spans="1:8" x14ac:dyDescent="0.25">
      <c r="A2739" s="13"/>
      <c r="B2739" s="14"/>
      <c r="C2739" s="39"/>
      <c r="D2739" s="39"/>
      <c r="E2739" s="36" t="str">
        <f>IF(SUM(C2739:D2739)=0," ",SUM(C2739:D2739))</f>
        <v xml:space="preserve"> </v>
      </c>
      <c r="F2739" s="14"/>
      <c r="G2739" s="120" t="e">
        <f>VLOOKUP($B2739,Information!$C$8:$F$15,4,FALSE)</f>
        <v>#N/A</v>
      </c>
      <c r="H2739" s="210" t="str">
        <f>TEXT(A2739,"ddd")</f>
        <v>Sat</v>
      </c>
    </row>
    <row r="2740" spans="1:8" x14ac:dyDescent="0.25">
      <c r="A2740" s="13"/>
      <c r="B2740" s="14"/>
      <c r="C2740" s="39"/>
      <c r="D2740" s="39"/>
      <c r="E2740" s="36" t="str">
        <f>IF(SUM(C2740:D2740)=0," ",SUM(C2740:D2740))</f>
        <v xml:space="preserve"> </v>
      </c>
      <c r="F2740" s="14"/>
      <c r="G2740" s="120" t="e">
        <f>VLOOKUP($B2740,Information!$C$8:$F$15,4,FALSE)</f>
        <v>#N/A</v>
      </c>
      <c r="H2740" s="210" t="str">
        <f>TEXT(A2740,"ddd")</f>
        <v>Sat</v>
      </c>
    </row>
    <row r="2741" spans="1:8" x14ac:dyDescent="0.25">
      <c r="A2741" s="13"/>
      <c r="B2741" s="14"/>
      <c r="C2741" s="39"/>
      <c r="D2741" s="39"/>
      <c r="E2741" s="36" t="str">
        <f>IF(SUM(C2741:D2741)=0," ",SUM(C2741:D2741))</f>
        <v xml:space="preserve"> </v>
      </c>
      <c r="F2741" s="14"/>
      <c r="G2741" s="120" t="e">
        <f>VLOOKUP($B2741,Information!$C$8:$F$15,4,FALSE)</f>
        <v>#N/A</v>
      </c>
      <c r="H2741" s="210" t="str">
        <f>TEXT(A2741,"ddd")</f>
        <v>Sat</v>
      </c>
    </row>
    <row r="2742" spans="1:8" x14ac:dyDescent="0.25">
      <c r="A2742" s="13"/>
      <c r="B2742" s="14"/>
      <c r="C2742" s="39"/>
      <c r="D2742" s="39"/>
      <c r="E2742" s="36" t="str">
        <f>IF(SUM(C2742:D2742)=0," ",SUM(C2742:D2742))</f>
        <v xml:space="preserve"> </v>
      </c>
      <c r="F2742" s="14"/>
      <c r="G2742" s="120" t="e">
        <f>VLOOKUP($B2742,Information!$C$8:$F$15,4,FALSE)</f>
        <v>#N/A</v>
      </c>
      <c r="H2742" s="210" t="str">
        <f>TEXT(A2742,"ddd")</f>
        <v>Sat</v>
      </c>
    </row>
    <row r="2743" spans="1:8" x14ac:dyDescent="0.25">
      <c r="A2743" s="13"/>
      <c r="B2743" s="14"/>
      <c r="C2743" s="39"/>
      <c r="D2743" s="39"/>
      <c r="E2743" s="36" t="str">
        <f>IF(SUM(C2743:D2743)=0," ",SUM(C2743:D2743))</f>
        <v xml:space="preserve"> </v>
      </c>
      <c r="F2743" s="14"/>
      <c r="G2743" s="120" t="e">
        <f>VLOOKUP($B2743,Information!$C$8:$F$15,4,FALSE)</f>
        <v>#N/A</v>
      </c>
      <c r="H2743" s="210" t="str">
        <f>TEXT(A2743,"ddd")</f>
        <v>Sat</v>
      </c>
    </row>
    <row r="2744" spans="1:8" x14ac:dyDescent="0.25">
      <c r="A2744" s="13"/>
      <c r="B2744" s="14"/>
      <c r="C2744" s="39"/>
      <c r="D2744" s="39"/>
      <c r="E2744" s="36" t="str">
        <f>IF(SUM(C2744:D2744)=0," ",SUM(C2744:D2744))</f>
        <v xml:space="preserve"> </v>
      </c>
      <c r="F2744" s="14"/>
      <c r="G2744" s="120" t="e">
        <f>VLOOKUP($B2744,Information!$C$8:$F$15,4,FALSE)</f>
        <v>#N/A</v>
      </c>
      <c r="H2744" s="210" t="str">
        <f>TEXT(A2744,"ddd")</f>
        <v>Sat</v>
      </c>
    </row>
    <row r="2745" spans="1:8" x14ac:dyDescent="0.25">
      <c r="A2745" s="13"/>
      <c r="B2745" s="14"/>
      <c r="C2745" s="39"/>
      <c r="D2745" s="39"/>
      <c r="E2745" s="36" t="str">
        <f>IF(SUM(C2745:D2745)=0," ",SUM(C2745:D2745))</f>
        <v xml:space="preserve"> </v>
      </c>
      <c r="F2745" s="14"/>
      <c r="G2745" s="120" t="e">
        <f>VLOOKUP($B2745,Information!$C$8:$F$15,4,FALSE)</f>
        <v>#N/A</v>
      </c>
      <c r="H2745" s="210" t="str">
        <f>TEXT(A2745,"ddd")</f>
        <v>Sat</v>
      </c>
    </row>
    <row r="2746" spans="1:8" x14ac:dyDescent="0.25">
      <c r="A2746" s="13"/>
      <c r="B2746" s="14"/>
      <c r="C2746" s="39"/>
      <c r="D2746" s="39"/>
      <c r="E2746" s="36" t="str">
        <f>IF(SUM(C2746:D2746)=0," ",SUM(C2746:D2746))</f>
        <v xml:space="preserve"> </v>
      </c>
      <c r="F2746" s="14"/>
      <c r="G2746" s="120" t="e">
        <f>VLOOKUP($B2746,Information!$C$8:$F$15,4,FALSE)</f>
        <v>#N/A</v>
      </c>
      <c r="H2746" s="210" t="str">
        <f>TEXT(A2746,"ddd")</f>
        <v>Sat</v>
      </c>
    </row>
    <row r="2747" spans="1:8" x14ac:dyDescent="0.25">
      <c r="A2747" s="13"/>
      <c r="B2747" s="14"/>
      <c r="C2747" s="39"/>
      <c r="D2747" s="39"/>
      <c r="E2747" s="36" t="str">
        <f>IF(SUM(C2747:D2747)=0," ",SUM(C2747:D2747))</f>
        <v xml:space="preserve"> </v>
      </c>
      <c r="F2747" s="14"/>
      <c r="G2747" s="120" t="e">
        <f>VLOOKUP($B2747,Information!$C$8:$F$15,4,FALSE)</f>
        <v>#N/A</v>
      </c>
      <c r="H2747" s="210" t="str">
        <f>TEXT(A2747,"ddd")</f>
        <v>Sat</v>
      </c>
    </row>
    <row r="2748" spans="1:8" x14ac:dyDescent="0.25">
      <c r="A2748" s="13"/>
      <c r="B2748" s="14"/>
      <c r="C2748" s="39"/>
      <c r="D2748" s="39"/>
      <c r="E2748" s="36" t="str">
        <f>IF(SUM(C2748:D2748)=0," ",SUM(C2748:D2748))</f>
        <v xml:space="preserve"> </v>
      </c>
      <c r="F2748" s="14"/>
      <c r="G2748" s="120" t="e">
        <f>VLOOKUP($B2748,Information!$C$8:$F$15,4,FALSE)</f>
        <v>#N/A</v>
      </c>
      <c r="H2748" s="210" t="str">
        <f>TEXT(A2748,"ddd")</f>
        <v>Sat</v>
      </c>
    </row>
    <row r="2749" spans="1:8" x14ac:dyDescent="0.25">
      <c r="A2749" s="13"/>
      <c r="B2749" s="14"/>
      <c r="C2749" s="39"/>
      <c r="D2749" s="39"/>
      <c r="E2749" s="36" t="str">
        <f>IF(SUM(C2749:D2749)=0," ",SUM(C2749:D2749))</f>
        <v xml:space="preserve"> </v>
      </c>
      <c r="F2749" s="14"/>
      <c r="G2749" s="120" t="e">
        <f>VLOOKUP($B2749,Information!$C$8:$F$15,4,FALSE)</f>
        <v>#N/A</v>
      </c>
      <c r="H2749" s="210" t="str">
        <f>TEXT(A2749,"ddd")</f>
        <v>Sat</v>
      </c>
    </row>
    <row r="2750" spans="1:8" x14ac:dyDescent="0.25">
      <c r="A2750" s="13"/>
      <c r="B2750" s="14"/>
      <c r="C2750" s="39"/>
      <c r="D2750" s="39"/>
      <c r="E2750" s="36" t="str">
        <f>IF(SUM(C2750:D2750)=0," ",SUM(C2750:D2750))</f>
        <v xml:space="preserve"> </v>
      </c>
      <c r="F2750" s="14"/>
      <c r="G2750" s="120" t="e">
        <f>VLOOKUP($B2750,Information!$C$8:$F$15,4,FALSE)</f>
        <v>#N/A</v>
      </c>
      <c r="H2750" s="210" t="str">
        <f>TEXT(A2750,"ddd")</f>
        <v>Sat</v>
      </c>
    </row>
    <row r="2751" spans="1:8" x14ac:dyDescent="0.25">
      <c r="A2751" s="13"/>
      <c r="B2751" s="14"/>
      <c r="C2751" s="39"/>
      <c r="D2751" s="39"/>
      <c r="E2751" s="36" t="str">
        <f>IF(SUM(C2751:D2751)=0," ",SUM(C2751:D2751))</f>
        <v xml:space="preserve"> </v>
      </c>
      <c r="F2751" s="14"/>
      <c r="G2751" s="120" t="e">
        <f>VLOOKUP($B2751,Information!$C$8:$F$15,4,FALSE)</f>
        <v>#N/A</v>
      </c>
      <c r="H2751" s="210" t="str">
        <f>TEXT(A2751,"ddd")</f>
        <v>Sat</v>
      </c>
    </row>
    <row r="2752" spans="1:8" x14ac:dyDescent="0.25">
      <c r="A2752" s="13"/>
      <c r="B2752" s="14"/>
      <c r="C2752" s="39"/>
      <c r="D2752" s="39"/>
      <c r="E2752" s="36" t="str">
        <f>IF(SUM(C2752:D2752)=0," ",SUM(C2752:D2752))</f>
        <v xml:space="preserve"> </v>
      </c>
      <c r="F2752" s="14"/>
      <c r="G2752" s="120" t="e">
        <f>VLOOKUP($B2752,Information!$C$8:$F$15,4,FALSE)</f>
        <v>#N/A</v>
      </c>
      <c r="H2752" s="210" t="str">
        <f>TEXT(A2752,"ddd")</f>
        <v>Sat</v>
      </c>
    </row>
    <row r="2753" spans="1:8" x14ac:dyDescent="0.25">
      <c r="A2753" s="13"/>
      <c r="B2753" s="14"/>
      <c r="C2753" s="39"/>
      <c r="D2753" s="39"/>
      <c r="E2753" s="36" t="str">
        <f>IF(SUM(C2753:D2753)=0," ",SUM(C2753:D2753))</f>
        <v xml:space="preserve"> </v>
      </c>
      <c r="F2753" s="14"/>
      <c r="G2753" s="120" t="e">
        <f>VLOOKUP($B2753,Information!$C$8:$F$15,4,FALSE)</f>
        <v>#N/A</v>
      </c>
      <c r="H2753" s="210" t="str">
        <f>TEXT(A2753,"ddd")</f>
        <v>Sat</v>
      </c>
    </row>
    <row r="2754" spans="1:8" x14ac:dyDescent="0.25">
      <c r="A2754" s="13"/>
      <c r="B2754" s="14"/>
      <c r="C2754" s="39"/>
      <c r="D2754" s="39"/>
      <c r="E2754" s="36" t="str">
        <f>IF(SUM(C2754:D2754)=0," ",SUM(C2754:D2754))</f>
        <v xml:space="preserve"> </v>
      </c>
      <c r="F2754" s="14"/>
      <c r="G2754" s="120" t="e">
        <f>VLOOKUP($B2754,Information!$C$8:$F$15,4,FALSE)</f>
        <v>#N/A</v>
      </c>
      <c r="H2754" s="210" t="str">
        <f>TEXT(A2754,"ddd")</f>
        <v>Sat</v>
      </c>
    </row>
    <row r="2755" spans="1:8" x14ac:dyDescent="0.25">
      <c r="A2755" s="13"/>
      <c r="B2755" s="14"/>
      <c r="C2755" s="39"/>
      <c r="D2755" s="39"/>
      <c r="E2755" s="36" t="str">
        <f>IF(SUM(C2755:D2755)=0," ",SUM(C2755:D2755))</f>
        <v xml:space="preserve"> </v>
      </c>
      <c r="F2755" s="14"/>
      <c r="G2755" s="120" t="e">
        <f>VLOOKUP($B2755,Information!$C$8:$F$15,4,FALSE)</f>
        <v>#N/A</v>
      </c>
      <c r="H2755" s="210" t="str">
        <f>TEXT(A2755,"ddd")</f>
        <v>Sat</v>
      </c>
    </row>
    <row r="2756" spans="1:8" x14ac:dyDescent="0.25">
      <c r="A2756" s="13"/>
      <c r="B2756" s="14"/>
      <c r="C2756" s="39"/>
      <c r="D2756" s="39"/>
      <c r="E2756" s="36" t="str">
        <f>IF(SUM(C2756:D2756)=0," ",SUM(C2756:D2756))</f>
        <v xml:space="preserve"> </v>
      </c>
      <c r="F2756" s="14"/>
      <c r="G2756" s="120" t="e">
        <f>VLOOKUP($B2756,Information!$C$8:$F$15,4,FALSE)</f>
        <v>#N/A</v>
      </c>
      <c r="H2756" s="210" t="str">
        <f>TEXT(A2756,"ddd")</f>
        <v>Sat</v>
      </c>
    </row>
    <row r="2757" spans="1:8" x14ac:dyDescent="0.25">
      <c r="A2757" s="13"/>
      <c r="B2757" s="14"/>
      <c r="C2757" s="39"/>
      <c r="D2757" s="39"/>
      <c r="E2757" s="36" t="str">
        <f>IF(SUM(C2757:D2757)=0," ",SUM(C2757:D2757))</f>
        <v xml:space="preserve"> </v>
      </c>
      <c r="F2757" s="14"/>
      <c r="G2757" s="120" t="e">
        <f>VLOOKUP($B2757,Information!$C$8:$F$15,4,FALSE)</f>
        <v>#N/A</v>
      </c>
      <c r="H2757" s="210" t="str">
        <f>TEXT(A2757,"ddd")</f>
        <v>Sat</v>
      </c>
    </row>
    <row r="2758" spans="1:8" x14ac:dyDescent="0.25">
      <c r="A2758" s="13"/>
      <c r="B2758" s="14"/>
      <c r="C2758" s="39"/>
      <c r="D2758" s="39"/>
      <c r="E2758" s="36" t="str">
        <f>IF(SUM(C2758:D2758)=0," ",SUM(C2758:D2758))</f>
        <v xml:space="preserve"> </v>
      </c>
      <c r="F2758" s="14"/>
      <c r="G2758" s="120" t="e">
        <f>VLOOKUP($B2758,Information!$C$8:$F$15,4,FALSE)</f>
        <v>#N/A</v>
      </c>
      <c r="H2758" s="210" t="str">
        <f>TEXT(A2758,"ddd")</f>
        <v>Sat</v>
      </c>
    </row>
    <row r="2759" spans="1:8" x14ac:dyDescent="0.25">
      <c r="A2759" s="13"/>
      <c r="B2759" s="14"/>
      <c r="C2759" s="39"/>
      <c r="D2759" s="39"/>
      <c r="E2759" s="36" t="str">
        <f>IF(SUM(C2759:D2759)=0," ",SUM(C2759:D2759))</f>
        <v xml:space="preserve"> </v>
      </c>
      <c r="F2759" s="14"/>
      <c r="G2759" s="120" t="e">
        <f>VLOOKUP($B2759,Information!$C$8:$F$15,4,FALSE)</f>
        <v>#N/A</v>
      </c>
      <c r="H2759" s="210" t="str">
        <f>TEXT(A2759,"ddd")</f>
        <v>Sat</v>
      </c>
    </row>
    <row r="2760" spans="1:8" x14ac:dyDescent="0.25">
      <c r="A2760" s="13"/>
      <c r="B2760" s="14"/>
      <c r="C2760" s="39"/>
      <c r="D2760" s="39"/>
      <c r="E2760" s="36" t="str">
        <f>IF(SUM(C2760:D2760)=0," ",SUM(C2760:D2760))</f>
        <v xml:space="preserve"> </v>
      </c>
      <c r="F2760" s="14"/>
      <c r="G2760" s="120" t="e">
        <f>VLOOKUP($B2760,Information!$C$8:$F$15,4,FALSE)</f>
        <v>#N/A</v>
      </c>
      <c r="H2760" s="210" t="str">
        <f>TEXT(A2760,"ddd")</f>
        <v>Sat</v>
      </c>
    </row>
    <row r="2761" spans="1:8" x14ac:dyDescent="0.25">
      <c r="A2761" s="13"/>
      <c r="B2761" s="14"/>
      <c r="C2761" s="39"/>
      <c r="D2761" s="39"/>
      <c r="E2761" s="36" t="str">
        <f>IF(SUM(C2761:D2761)=0," ",SUM(C2761:D2761))</f>
        <v xml:space="preserve"> </v>
      </c>
      <c r="F2761" s="14"/>
      <c r="G2761" s="120" t="e">
        <f>VLOOKUP($B2761,Information!$C$8:$F$15,4,FALSE)</f>
        <v>#N/A</v>
      </c>
      <c r="H2761" s="210" t="str">
        <f>TEXT(A2761,"ddd")</f>
        <v>Sat</v>
      </c>
    </row>
    <row r="2762" spans="1:8" x14ac:dyDescent="0.25">
      <c r="A2762" s="13"/>
      <c r="B2762" s="14"/>
      <c r="C2762" s="39"/>
      <c r="D2762" s="39"/>
      <c r="E2762" s="36" t="str">
        <f>IF(SUM(C2762:D2762)=0," ",SUM(C2762:D2762))</f>
        <v xml:space="preserve"> </v>
      </c>
      <c r="F2762" s="14"/>
      <c r="G2762" s="120" t="e">
        <f>VLOOKUP($B2762,Information!$C$8:$F$15,4,FALSE)</f>
        <v>#N/A</v>
      </c>
      <c r="H2762" s="210" t="str">
        <f>TEXT(A2762,"ddd")</f>
        <v>Sat</v>
      </c>
    </row>
    <row r="2763" spans="1:8" x14ac:dyDescent="0.25">
      <c r="A2763" s="13"/>
      <c r="B2763" s="14"/>
      <c r="C2763" s="39"/>
      <c r="D2763" s="39"/>
      <c r="E2763" s="36" t="str">
        <f>IF(SUM(C2763:D2763)=0," ",SUM(C2763:D2763))</f>
        <v xml:space="preserve"> </v>
      </c>
      <c r="F2763" s="14"/>
      <c r="G2763" s="120" t="e">
        <f>VLOOKUP($B2763,Information!$C$8:$F$15,4,FALSE)</f>
        <v>#N/A</v>
      </c>
      <c r="H2763" s="210" t="str">
        <f>TEXT(A2763,"ddd")</f>
        <v>Sat</v>
      </c>
    </row>
    <row r="2764" spans="1:8" x14ac:dyDescent="0.25">
      <c r="A2764" s="13"/>
      <c r="B2764" s="14"/>
      <c r="C2764" s="39"/>
      <c r="D2764" s="39"/>
      <c r="E2764" s="36" t="str">
        <f>IF(SUM(C2764:D2764)=0," ",SUM(C2764:D2764))</f>
        <v xml:space="preserve"> </v>
      </c>
      <c r="F2764" s="14"/>
      <c r="G2764" s="120" t="e">
        <f>VLOOKUP($B2764,Information!$C$8:$F$15,4,FALSE)</f>
        <v>#N/A</v>
      </c>
      <c r="H2764" s="210" t="str">
        <f>TEXT(A2764,"ddd")</f>
        <v>Sat</v>
      </c>
    </row>
    <row r="2765" spans="1:8" x14ac:dyDescent="0.25">
      <c r="A2765" s="13"/>
      <c r="B2765" s="14"/>
      <c r="C2765" s="39"/>
      <c r="D2765" s="39"/>
      <c r="E2765" s="36" t="str">
        <f>IF(SUM(C2765:D2765)=0," ",SUM(C2765:D2765))</f>
        <v xml:space="preserve"> </v>
      </c>
      <c r="F2765" s="14"/>
      <c r="G2765" s="120" t="e">
        <f>VLOOKUP($B2765,Information!$C$8:$F$15,4,FALSE)</f>
        <v>#N/A</v>
      </c>
      <c r="H2765" s="210" t="str">
        <f>TEXT(A2765,"ddd")</f>
        <v>Sat</v>
      </c>
    </row>
    <row r="2766" spans="1:8" x14ac:dyDescent="0.25">
      <c r="A2766" s="13"/>
      <c r="B2766" s="14"/>
      <c r="C2766" s="39"/>
      <c r="D2766" s="39"/>
      <c r="E2766" s="36" t="str">
        <f>IF(SUM(C2766:D2766)=0," ",SUM(C2766:D2766))</f>
        <v xml:space="preserve"> </v>
      </c>
      <c r="F2766" s="14"/>
      <c r="G2766" s="120" t="e">
        <f>VLOOKUP($B2766,Information!$C$8:$F$15,4,FALSE)</f>
        <v>#N/A</v>
      </c>
      <c r="H2766" s="210" t="str">
        <f>TEXT(A2766,"ddd")</f>
        <v>Sat</v>
      </c>
    </row>
    <row r="2767" spans="1:8" x14ac:dyDescent="0.25">
      <c r="A2767" s="13"/>
      <c r="B2767" s="14"/>
      <c r="C2767" s="39"/>
      <c r="D2767" s="39"/>
      <c r="E2767" s="36" t="str">
        <f>IF(SUM(C2767:D2767)=0," ",SUM(C2767:D2767))</f>
        <v xml:space="preserve"> </v>
      </c>
      <c r="F2767" s="14"/>
      <c r="G2767" s="120" t="e">
        <f>VLOOKUP($B2767,Information!$C$8:$F$15,4,FALSE)</f>
        <v>#N/A</v>
      </c>
      <c r="H2767" s="210" t="str">
        <f>TEXT(A2767,"ddd")</f>
        <v>Sat</v>
      </c>
    </row>
    <row r="2768" spans="1:8" x14ac:dyDescent="0.25">
      <c r="A2768" s="13"/>
      <c r="B2768" s="14"/>
      <c r="C2768" s="39"/>
      <c r="D2768" s="39"/>
      <c r="E2768" s="36" t="str">
        <f>IF(SUM(C2768:D2768)=0," ",SUM(C2768:D2768))</f>
        <v xml:space="preserve"> </v>
      </c>
      <c r="F2768" s="14"/>
      <c r="G2768" s="120" t="e">
        <f>VLOOKUP($B2768,Information!$C$8:$F$15,4,FALSE)</f>
        <v>#N/A</v>
      </c>
      <c r="H2768" s="210" t="str">
        <f>TEXT(A2768,"ddd")</f>
        <v>Sat</v>
      </c>
    </row>
    <row r="2769" spans="1:8" x14ac:dyDescent="0.25">
      <c r="A2769" s="13"/>
      <c r="B2769" s="14"/>
      <c r="C2769" s="39"/>
      <c r="D2769" s="39"/>
      <c r="E2769" s="36" t="str">
        <f>IF(SUM(C2769:D2769)=0," ",SUM(C2769:D2769))</f>
        <v xml:space="preserve"> </v>
      </c>
      <c r="F2769" s="14"/>
      <c r="G2769" s="120" t="e">
        <f>VLOOKUP($B2769,Information!$C$8:$F$15,4,FALSE)</f>
        <v>#N/A</v>
      </c>
      <c r="H2769" s="210" t="str">
        <f>TEXT(A2769,"ddd")</f>
        <v>Sat</v>
      </c>
    </row>
    <row r="2770" spans="1:8" x14ac:dyDescent="0.25">
      <c r="A2770" s="13"/>
      <c r="B2770" s="14"/>
      <c r="C2770" s="39"/>
      <c r="D2770" s="39"/>
      <c r="E2770" s="36" t="str">
        <f>IF(SUM(C2770:D2770)=0," ",SUM(C2770:D2770))</f>
        <v xml:space="preserve"> </v>
      </c>
      <c r="F2770" s="14"/>
      <c r="G2770" s="120" t="e">
        <f>VLOOKUP($B2770,Information!$C$8:$F$15,4,FALSE)</f>
        <v>#N/A</v>
      </c>
      <c r="H2770" s="210" t="str">
        <f>TEXT(A2770,"ddd")</f>
        <v>Sat</v>
      </c>
    </row>
    <row r="2771" spans="1:8" x14ac:dyDescent="0.25">
      <c r="A2771" s="13"/>
      <c r="B2771" s="14"/>
      <c r="C2771" s="39"/>
      <c r="D2771" s="39"/>
      <c r="E2771" s="36" t="str">
        <f>IF(SUM(C2771:D2771)=0," ",SUM(C2771:D2771))</f>
        <v xml:space="preserve"> </v>
      </c>
      <c r="F2771" s="14"/>
      <c r="G2771" s="120" t="e">
        <f>VLOOKUP($B2771,Information!$C$8:$F$15,4,FALSE)</f>
        <v>#N/A</v>
      </c>
      <c r="H2771" s="210" t="str">
        <f>TEXT(A2771,"ddd")</f>
        <v>Sat</v>
      </c>
    </row>
    <row r="2772" spans="1:8" x14ac:dyDescent="0.25">
      <c r="A2772" s="13"/>
      <c r="B2772" s="14"/>
      <c r="C2772" s="39"/>
      <c r="D2772" s="39"/>
      <c r="E2772" s="36" t="str">
        <f>IF(SUM(C2772:D2772)=0," ",SUM(C2772:D2772))</f>
        <v xml:space="preserve"> </v>
      </c>
      <c r="F2772" s="14"/>
      <c r="G2772" s="120" t="e">
        <f>VLOOKUP($B2772,Information!$C$8:$F$15,4,FALSE)</f>
        <v>#N/A</v>
      </c>
      <c r="H2772" s="210" t="str">
        <f>TEXT(A2772,"ddd")</f>
        <v>Sat</v>
      </c>
    </row>
    <row r="2773" spans="1:8" x14ac:dyDescent="0.25">
      <c r="A2773" s="13"/>
      <c r="B2773" s="14"/>
      <c r="C2773" s="39"/>
      <c r="D2773" s="39"/>
      <c r="E2773" s="36" t="str">
        <f>IF(SUM(C2773:D2773)=0," ",SUM(C2773:D2773))</f>
        <v xml:space="preserve"> </v>
      </c>
      <c r="F2773" s="14"/>
      <c r="G2773" s="120" t="e">
        <f>VLOOKUP($B2773,Information!$C$8:$F$15,4,FALSE)</f>
        <v>#N/A</v>
      </c>
      <c r="H2773" s="210" t="str">
        <f>TEXT(A2773,"ddd")</f>
        <v>Sat</v>
      </c>
    </row>
    <row r="2774" spans="1:8" x14ac:dyDescent="0.25">
      <c r="A2774" s="13"/>
      <c r="B2774" s="14"/>
      <c r="C2774" s="39"/>
      <c r="D2774" s="39"/>
      <c r="E2774" s="36" t="str">
        <f>IF(SUM(C2774:D2774)=0," ",SUM(C2774:D2774))</f>
        <v xml:space="preserve"> </v>
      </c>
      <c r="F2774" s="14"/>
      <c r="G2774" s="120" t="e">
        <f>VLOOKUP($B2774,Information!$C$8:$F$15,4,FALSE)</f>
        <v>#N/A</v>
      </c>
      <c r="H2774" s="210" t="str">
        <f>TEXT(A2774,"ddd")</f>
        <v>Sat</v>
      </c>
    </row>
    <row r="2775" spans="1:8" x14ac:dyDescent="0.25">
      <c r="A2775" s="13"/>
      <c r="B2775" s="14"/>
      <c r="C2775" s="39"/>
      <c r="D2775" s="39"/>
      <c r="E2775" s="36" t="str">
        <f>IF(SUM(C2775:D2775)=0," ",SUM(C2775:D2775))</f>
        <v xml:space="preserve"> </v>
      </c>
      <c r="F2775" s="14"/>
      <c r="G2775" s="120" t="e">
        <f>VLOOKUP($B2775,Information!$C$8:$F$15,4,FALSE)</f>
        <v>#N/A</v>
      </c>
      <c r="H2775" s="210" t="str">
        <f>TEXT(A2775,"ddd")</f>
        <v>Sat</v>
      </c>
    </row>
    <row r="2776" spans="1:8" x14ac:dyDescent="0.25">
      <c r="A2776" s="13"/>
      <c r="B2776" s="14"/>
      <c r="C2776" s="39"/>
      <c r="D2776" s="39"/>
      <c r="E2776" s="36" t="str">
        <f>IF(SUM(C2776:D2776)=0," ",SUM(C2776:D2776))</f>
        <v xml:space="preserve"> </v>
      </c>
      <c r="F2776" s="14"/>
      <c r="G2776" s="120" t="e">
        <f>VLOOKUP($B2776,Information!$C$8:$F$15,4,FALSE)</f>
        <v>#N/A</v>
      </c>
      <c r="H2776" s="210" t="str">
        <f>TEXT(A2776,"ddd")</f>
        <v>Sat</v>
      </c>
    </row>
    <row r="2777" spans="1:8" x14ac:dyDescent="0.25">
      <c r="A2777" s="13"/>
      <c r="B2777" s="14"/>
      <c r="C2777" s="39"/>
      <c r="D2777" s="39"/>
      <c r="E2777" s="36" t="str">
        <f>IF(SUM(C2777:D2777)=0," ",SUM(C2777:D2777))</f>
        <v xml:space="preserve"> </v>
      </c>
      <c r="F2777" s="14"/>
      <c r="G2777" s="120" t="e">
        <f>VLOOKUP($B2777,Information!$C$8:$F$15,4,FALSE)</f>
        <v>#N/A</v>
      </c>
      <c r="H2777" s="210" t="str">
        <f>TEXT(A2777,"ddd")</f>
        <v>Sat</v>
      </c>
    </row>
    <row r="2778" spans="1:8" x14ac:dyDescent="0.25">
      <c r="A2778" s="13"/>
      <c r="B2778" s="14"/>
      <c r="C2778" s="39"/>
      <c r="D2778" s="39"/>
      <c r="E2778" s="36" t="str">
        <f>IF(SUM(C2778:D2778)=0," ",SUM(C2778:D2778))</f>
        <v xml:space="preserve"> </v>
      </c>
      <c r="F2778" s="14"/>
      <c r="G2778" s="120" t="e">
        <f>VLOOKUP($B2778,Information!$C$8:$F$15,4,FALSE)</f>
        <v>#N/A</v>
      </c>
      <c r="H2778" s="210" t="str">
        <f>TEXT(A2778,"ddd")</f>
        <v>Sat</v>
      </c>
    </row>
    <row r="2779" spans="1:8" x14ac:dyDescent="0.25">
      <c r="A2779" s="13"/>
      <c r="B2779" s="14"/>
      <c r="C2779" s="39"/>
      <c r="D2779" s="39"/>
      <c r="E2779" s="36" t="str">
        <f>IF(SUM(C2779:D2779)=0," ",SUM(C2779:D2779))</f>
        <v xml:space="preserve"> </v>
      </c>
      <c r="F2779" s="14"/>
      <c r="G2779" s="120" t="e">
        <f>VLOOKUP($B2779,Information!$C$8:$F$15,4,FALSE)</f>
        <v>#N/A</v>
      </c>
      <c r="H2779" s="210" t="str">
        <f>TEXT(A2779,"ddd")</f>
        <v>Sat</v>
      </c>
    </row>
    <row r="2780" spans="1:8" x14ac:dyDescent="0.25">
      <c r="A2780" s="13"/>
      <c r="B2780" s="14"/>
      <c r="C2780" s="39"/>
      <c r="D2780" s="39"/>
      <c r="E2780" s="36" t="str">
        <f>IF(SUM(C2780:D2780)=0," ",SUM(C2780:D2780))</f>
        <v xml:space="preserve"> </v>
      </c>
      <c r="F2780" s="14"/>
      <c r="G2780" s="120" t="e">
        <f>VLOOKUP($B2780,Information!$C$8:$F$15,4,FALSE)</f>
        <v>#N/A</v>
      </c>
      <c r="H2780" s="210" t="str">
        <f>TEXT(A2780,"ddd")</f>
        <v>Sat</v>
      </c>
    </row>
    <row r="2781" spans="1:8" x14ac:dyDescent="0.25">
      <c r="A2781" s="13"/>
      <c r="B2781" s="14"/>
      <c r="C2781" s="39"/>
      <c r="D2781" s="39"/>
      <c r="E2781" s="36" t="str">
        <f>IF(SUM(C2781:D2781)=0," ",SUM(C2781:D2781))</f>
        <v xml:space="preserve"> </v>
      </c>
      <c r="F2781" s="14"/>
      <c r="G2781" s="120" t="e">
        <f>VLOOKUP($B2781,Information!$C$8:$F$15,4,FALSE)</f>
        <v>#N/A</v>
      </c>
      <c r="H2781" s="210" t="str">
        <f>TEXT(A2781,"ddd")</f>
        <v>Sat</v>
      </c>
    </row>
    <row r="2782" spans="1:8" x14ac:dyDescent="0.25">
      <c r="A2782" s="13"/>
      <c r="B2782" s="14"/>
      <c r="C2782" s="39"/>
      <c r="D2782" s="39"/>
      <c r="E2782" s="36" t="str">
        <f>IF(SUM(C2782:D2782)=0," ",SUM(C2782:D2782))</f>
        <v xml:space="preserve"> </v>
      </c>
      <c r="F2782" s="14"/>
      <c r="G2782" s="120" t="e">
        <f>VLOOKUP($B2782,Information!$C$8:$F$15,4,FALSE)</f>
        <v>#N/A</v>
      </c>
      <c r="H2782" s="210" t="str">
        <f>TEXT(A2782,"ddd")</f>
        <v>Sat</v>
      </c>
    </row>
    <row r="2783" spans="1:8" x14ac:dyDescent="0.25">
      <c r="A2783" s="13"/>
      <c r="B2783" s="14"/>
      <c r="C2783" s="39"/>
      <c r="D2783" s="39"/>
      <c r="E2783" s="36" t="str">
        <f>IF(SUM(C2783:D2783)=0," ",SUM(C2783:D2783))</f>
        <v xml:space="preserve"> </v>
      </c>
      <c r="F2783" s="14"/>
      <c r="G2783" s="120" t="e">
        <f>VLOOKUP($B2783,Information!$C$8:$F$15,4,FALSE)</f>
        <v>#N/A</v>
      </c>
      <c r="H2783" s="210" t="str">
        <f>TEXT(A2783,"ddd")</f>
        <v>Sat</v>
      </c>
    </row>
    <row r="2784" spans="1:8" x14ac:dyDescent="0.25">
      <c r="A2784" s="13"/>
      <c r="B2784" s="14"/>
      <c r="C2784" s="39"/>
      <c r="D2784" s="39"/>
      <c r="E2784" s="36" t="str">
        <f>IF(SUM(C2784:D2784)=0," ",SUM(C2784:D2784))</f>
        <v xml:space="preserve"> </v>
      </c>
      <c r="F2784" s="14"/>
      <c r="G2784" s="120" t="e">
        <f>VLOOKUP($B2784,Information!$C$8:$F$15,4,FALSE)</f>
        <v>#N/A</v>
      </c>
      <c r="H2784" s="210" t="str">
        <f>TEXT(A2784,"ddd")</f>
        <v>Sat</v>
      </c>
    </row>
    <row r="2785" spans="1:8" x14ac:dyDescent="0.25">
      <c r="A2785" s="13"/>
      <c r="B2785" s="14"/>
      <c r="C2785" s="39"/>
      <c r="D2785" s="39"/>
      <c r="E2785" s="36" t="str">
        <f>IF(SUM(C2785:D2785)=0," ",SUM(C2785:D2785))</f>
        <v xml:space="preserve"> </v>
      </c>
      <c r="F2785" s="14"/>
      <c r="G2785" s="120" t="e">
        <f>VLOOKUP($B2785,Information!$C$8:$F$15,4,FALSE)</f>
        <v>#N/A</v>
      </c>
      <c r="H2785" s="210" t="str">
        <f>TEXT(A2785,"ddd")</f>
        <v>Sat</v>
      </c>
    </row>
    <row r="2786" spans="1:8" x14ac:dyDescent="0.25">
      <c r="A2786" s="13"/>
      <c r="B2786" s="14"/>
      <c r="C2786" s="39"/>
      <c r="D2786" s="39"/>
      <c r="E2786" s="36" t="str">
        <f>IF(SUM(C2786:D2786)=0," ",SUM(C2786:D2786))</f>
        <v xml:space="preserve"> </v>
      </c>
      <c r="F2786" s="14"/>
      <c r="G2786" s="120" t="e">
        <f>VLOOKUP($B2786,Information!$C$8:$F$15,4,FALSE)</f>
        <v>#N/A</v>
      </c>
      <c r="H2786" s="210" t="str">
        <f>TEXT(A2786,"ddd")</f>
        <v>Sat</v>
      </c>
    </row>
    <row r="2787" spans="1:8" x14ac:dyDescent="0.25">
      <c r="A2787" s="13"/>
      <c r="B2787" s="14"/>
      <c r="C2787" s="39"/>
      <c r="D2787" s="39"/>
      <c r="E2787" s="36" t="str">
        <f>IF(SUM(C2787:D2787)=0," ",SUM(C2787:D2787))</f>
        <v xml:space="preserve"> </v>
      </c>
      <c r="F2787" s="14"/>
      <c r="G2787" s="120" t="e">
        <f>VLOOKUP($B2787,Information!$C$8:$F$15,4,FALSE)</f>
        <v>#N/A</v>
      </c>
      <c r="H2787" s="210" t="str">
        <f>TEXT(A2787,"ddd")</f>
        <v>Sat</v>
      </c>
    </row>
    <row r="2788" spans="1:8" x14ac:dyDescent="0.25">
      <c r="A2788" s="13"/>
      <c r="B2788" s="14"/>
      <c r="C2788" s="39"/>
      <c r="D2788" s="39"/>
      <c r="E2788" s="36" t="str">
        <f>IF(SUM(C2788:D2788)=0," ",SUM(C2788:D2788))</f>
        <v xml:space="preserve"> </v>
      </c>
      <c r="F2788" s="14"/>
      <c r="G2788" s="120" t="e">
        <f>VLOOKUP($B2788,Information!$C$8:$F$15,4,FALSE)</f>
        <v>#N/A</v>
      </c>
      <c r="H2788" s="210" t="str">
        <f>TEXT(A2788,"ddd")</f>
        <v>Sat</v>
      </c>
    </row>
    <row r="2789" spans="1:8" x14ac:dyDescent="0.25">
      <c r="A2789" s="13"/>
      <c r="B2789" s="14"/>
      <c r="C2789" s="39"/>
      <c r="D2789" s="39"/>
      <c r="E2789" s="36" t="str">
        <f>IF(SUM(C2789:D2789)=0," ",SUM(C2789:D2789))</f>
        <v xml:space="preserve"> </v>
      </c>
      <c r="F2789" s="14"/>
      <c r="G2789" s="120" t="e">
        <f>VLOOKUP($B2789,Information!$C$8:$F$15,4,FALSE)</f>
        <v>#N/A</v>
      </c>
      <c r="H2789" s="210" t="str">
        <f>TEXT(A2789,"ddd")</f>
        <v>Sat</v>
      </c>
    </row>
    <row r="2790" spans="1:8" x14ac:dyDescent="0.25">
      <c r="A2790" s="13"/>
      <c r="B2790" s="14"/>
      <c r="C2790" s="39"/>
      <c r="D2790" s="39"/>
      <c r="E2790" s="36" t="str">
        <f>IF(SUM(C2790:D2790)=0," ",SUM(C2790:D2790))</f>
        <v xml:space="preserve"> </v>
      </c>
      <c r="F2790" s="14"/>
      <c r="G2790" s="120" t="e">
        <f>VLOOKUP($B2790,Information!$C$8:$F$15,4,FALSE)</f>
        <v>#N/A</v>
      </c>
      <c r="H2790" s="210" t="str">
        <f>TEXT(A2790,"ddd")</f>
        <v>Sat</v>
      </c>
    </row>
    <row r="2791" spans="1:8" x14ac:dyDescent="0.25">
      <c r="A2791" s="13"/>
      <c r="B2791" s="14"/>
      <c r="C2791" s="39"/>
      <c r="D2791" s="39"/>
      <c r="E2791" s="36" t="str">
        <f>IF(SUM(C2791:D2791)=0," ",SUM(C2791:D2791))</f>
        <v xml:space="preserve"> </v>
      </c>
      <c r="F2791" s="14"/>
      <c r="G2791" s="120" t="e">
        <f>VLOOKUP($B2791,Information!$C$8:$F$15,4,FALSE)</f>
        <v>#N/A</v>
      </c>
      <c r="H2791" s="210" t="str">
        <f>TEXT(A2791,"ddd")</f>
        <v>Sat</v>
      </c>
    </row>
    <row r="2792" spans="1:8" x14ac:dyDescent="0.25">
      <c r="A2792" s="13"/>
      <c r="B2792" s="14"/>
      <c r="C2792" s="39"/>
      <c r="D2792" s="39"/>
      <c r="E2792" s="36" t="str">
        <f>IF(SUM(C2792:D2792)=0," ",SUM(C2792:D2792))</f>
        <v xml:space="preserve"> </v>
      </c>
      <c r="F2792" s="14"/>
      <c r="G2792" s="120" t="e">
        <f>VLOOKUP($B2792,Information!$C$8:$F$15,4,FALSE)</f>
        <v>#N/A</v>
      </c>
      <c r="H2792" s="210" t="str">
        <f>TEXT(A2792,"ddd")</f>
        <v>Sat</v>
      </c>
    </row>
    <row r="2793" spans="1:8" x14ac:dyDescent="0.25">
      <c r="A2793" s="13"/>
      <c r="B2793" s="14"/>
      <c r="C2793" s="39"/>
      <c r="D2793" s="39"/>
      <c r="E2793" s="36" t="str">
        <f>IF(SUM(C2793:D2793)=0," ",SUM(C2793:D2793))</f>
        <v xml:space="preserve"> </v>
      </c>
      <c r="F2793" s="14"/>
      <c r="G2793" s="120" t="e">
        <f>VLOOKUP($B2793,Information!$C$8:$F$15,4,FALSE)</f>
        <v>#N/A</v>
      </c>
      <c r="H2793" s="210" t="str">
        <f>TEXT(A2793,"ddd")</f>
        <v>Sat</v>
      </c>
    </row>
    <row r="2794" spans="1:8" x14ac:dyDescent="0.25">
      <c r="A2794" s="13"/>
      <c r="B2794" s="14"/>
      <c r="C2794" s="39"/>
      <c r="D2794" s="39"/>
      <c r="E2794" s="36" t="str">
        <f>IF(SUM(C2794:D2794)=0," ",SUM(C2794:D2794))</f>
        <v xml:space="preserve"> </v>
      </c>
      <c r="F2794" s="14"/>
      <c r="G2794" s="120" t="e">
        <f>VLOOKUP($B2794,Information!$C$8:$F$15,4,FALSE)</f>
        <v>#N/A</v>
      </c>
      <c r="H2794" s="210" t="str">
        <f>TEXT(A2794,"ddd")</f>
        <v>Sat</v>
      </c>
    </row>
    <row r="2795" spans="1:8" x14ac:dyDescent="0.25">
      <c r="A2795" s="13"/>
      <c r="B2795" s="14"/>
      <c r="C2795" s="39"/>
      <c r="D2795" s="39"/>
      <c r="E2795" s="36" t="str">
        <f>IF(SUM(C2795:D2795)=0," ",SUM(C2795:D2795))</f>
        <v xml:space="preserve"> </v>
      </c>
      <c r="F2795" s="14"/>
      <c r="G2795" s="120" t="e">
        <f>VLOOKUP($B2795,Information!$C$8:$F$15,4,FALSE)</f>
        <v>#N/A</v>
      </c>
      <c r="H2795" s="210" t="str">
        <f>TEXT(A2795,"ddd")</f>
        <v>Sat</v>
      </c>
    </row>
    <row r="2796" spans="1:8" x14ac:dyDescent="0.25">
      <c r="A2796" s="13"/>
      <c r="B2796" s="14"/>
      <c r="C2796" s="39"/>
      <c r="D2796" s="39"/>
      <c r="E2796" s="36" t="str">
        <f>IF(SUM(C2796:D2796)=0," ",SUM(C2796:D2796))</f>
        <v xml:space="preserve"> </v>
      </c>
      <c r="F2796" s="14"/>
      <c r="G2796" s="120" t="e">
        <f>VLOOKUP($B2796,Information!$C$8:$F$15,4,FALSE)</f>
        <v>#N/A</v>
      </c>
      <c r="H2796" s="210" t="str">
        <f>TEXT(A2796,"ddd")</f>
        <v>Sat</v>
      </c>
    </row>
    <row r="2797" spans="1:8" x14ac:dyDescent="0.25">
      <c r="A2797" s="13"/>
      <c r="B2797" s="14"/>
      <c r="C2797" s="39"/>
      <c r="D2797" s="39"/>
      <c r="E2797" s="36" t="str">
        <f>IF(SUM(C2797:D2797)=0," ",SUM(C2797:D2797))</f>
        <v xml:space="preserve"> </v>
      </c>
      <c r="F2797" s="14"/>
      <c r="G2797" s="120" t="e">
        <f>VLOOKUP($B2797,Information!$C$8:$F$15,4,FALSE)</f>
        <v>#N/A</v>
      </c>
      <c r="H2797" s="210" t="str">
        <f>TEXT(A2797,"ddd")</f>
        <v>Sat</v>
      </c>
    </row>
    <row r="2798" spans="1:8" x14ac:dyDescent="0.25">
      <c r="A2798" s="13"/>
      <c r="B2798" s="14"/>
      <c r="C2798" s="39"/>
      <c r="D2798" s="39"/>
      <c r="E2798" s="36" t="str">
        <f>IF(SUM(C2798:D2798)=0," ",SUM(C2798:D2798))</f>
        <v xml:space="preserve"> </v>
      </c>
      <c r="F2798" s="14"/>
      <c r="G2798" s="120" t="e">
        <f>VLOOKUP($B2798,Information!$C$8:$F$15,4,FALSE)</f>
        <v>#N/A</v>
      </c>
      <c r="H2798" s="210" t="str">
        <f>TEXT(A2798,"ddd")</f>
        <v>Sat</v>
      </c>
    </row>
    <row r="2799" spans="1:8" x14ac:dyDescent="0.25">
      <c r="A2799" s="13"/>
      <c r="B2799" s="14"/>
      <c r="C2799" s="39"/>
      <c r="D2799" s="39"/>
      <c r="E2799" s="36" t="str">
        <f>IF(SUM(C2799:D2799)=0," ",SUM(C2799:D2799))</f>
        <v xml:space="preserve"> </v>
      </c>
      <c r="F2799" s="14"/>
      <c r="G2799" s="120" t="e">
        <f>VLOOKUP($B2799,Information!$C$8:$F$15,4,FALSE)</f>
        <v>#N/A</v>
      </c>
      <c r="H2799" s="210" t="str">
        <f>TEXT(A2799,"ddd")</f>
        <v>Sat</v>
      </c>
    </row>
    <row r="2800" spans="1:8" x14ac:dyDescent="0.25">
      <c r="A2800" s="13"/>
      <c r="B2800" s="14"/>
      <c r="C2800" s="39"/>
      <c r="D2800" s="39"/>
      <c r="E2800" s="36" t="str">
        <f>IF(SUM(C2800:D2800)=0," ",SUM(C2800:D2800))</f>
        <v xml:space="preserve"> </v>
      </c>
      <c r="F2800" s="14"/>
      <c r="G2800" s="120" t="e">
        <f>VLOOKUP($B2800,Information!$C$8:$F$15,4,FALSE)</f>
        <v>#N/A</v>
      </c>
      <c r="H2800" s="210" t="str">
        <f>TEXT(A2800,"ddd")</f>
        <v>Sat</v>
      </c>
    </row>
    <row r="2801" spans="1:8" x14ac:dyDescent="0.25">
      <c r="A2801" s="13"/>
      <c r="B2801" s="14"/>
      <c r="C2801" s="39"/>
      <c r="D2801" s="39"/>
      <c r="E2801" s="36" t="str">
        <f>IF(SUM(C2801:D2801)=0," ",SUM(C2801:D2801))</f>
        <v xml:space="preserve"> </v>
      </c>
      <c r="F2801" s="14"/>
      <c r="G2801" s="120" t="e">
        <f>VLOOKUP($B2801,Information!$C$8:$F$15,4,FALSE)</f>
        <v>#N/A</v>
      </c>
      <c r="H2801" s="210" t="str">
        <f>TEXT(A2801,"ddd")</f>
        <v>Sat</v>
      </c>
    </row>
    <row r="2802" spans="1:8" x14ac:dyDescent="0.25">
      <c r="A2802" s="13"/>
      <c r="B2802" s="14"/>
      <c r="C2802" s="39"/>
      <c r="D2802" s="39"/>
      <c r="E2802" s="36" t="str">
        <f>IF(SUM(C2802:D2802)=0," ",SUM(C2802:D2802))</f>
        <v xml:space="preserve"> </v>
      </c>
      <c r="F2802" s="14"/>
      <c r="G2802" s="120" t="e">
        <f>VLOOKUP($B2802,Information!$C$8:$F$15,4,FALSE)</f>
        <v>#N/A</v>
      </c>
      <c r="H2802" s="210" t="str">
        <f>TEXT(A2802,"ddd")</f>
        <v>Sat</v>
      </c>
    </row>
    <row r="2803" spans="1:8" x14ac:dyDescent="0.25">
      <c r="A2803" s="13"/>
      <c r="B2803" s="14"/>
      <c r="C2803" s="39"/>
      <c r="D2803" s="39"/>
      <c r="E2803" s="36" t="str">
        <f>IF(SUM(C2803:D2803)=0," ",SUM(C2803:D2803))</f>
        <v xml:space="preserve"> </v>
      </c>
      <c r="F2803" s="14"/>
      <c r="G2803" s="120" t="e">
        <f>VLOOKUP($B2803,Information!$C$8:$F$15,4,FALSE)</f>
        <v>#N/A</v>
      </c>
      <c r="H2803" s="210" t="str">
        <f>TEXT(A2803,"ddd")</f>
        <v>Sat</v>
      </c>
    </row>
    <row r="2804" spans="1:8" x14ac:dyDescent="0.25">
      <c r="A2804" s="13"/>
      <c r="B2804" s="14"/>
      <c r="C2804" s="39"/>
      <c r="D2804" s="39"/>
      <c r="E2804" s="36" t="str">
        <f>IF(SUM(C2804:D2804)=0," ",SUM(C2804:D2804))</f>
        <v xml:space="preserve"> </v>
      </c>
      <c r="F2804" s="14"/>
      <c r="G2804" s="120" t="e">
        <f>VLOOKUP($B2804,Information!$C$8:$F$15,4,FALSE)</f>
        <v>#N/A</v>
      </c>
      <c r="H2804" s="210" t="str">
        <f>TEXT(A2804,"ddd")</f>
        <v>Sat</v>
      </c>
    </row>
    <row r="2805" spans="1:8" x14ac:dyDescent="0.25">
      <c r="A2805" s="13"/>
      <c r="B2805" s="14"/>
      <c r="C2805" s="39"/>
      <c r="D2805" s="39"/>
      <c r="E2805" s="36" t="str">
        <f>IF(SUM(C2805:D2805)=0," ",SUM(C2805:D2805))</f>
        <v xml:space="preserve"> </v>
      </c>
      <c r="F2805" s="14"/>
      <c r="G2805" s="120" t="e">
        <f>VLOOKUP($B2805,Information!$C$8:$F$15,4,FALSE)</f>
        <v>#N/A</v>
      </c>
      <c r="H2805" s="210" t="str">
        <f>TEXT(A2805,"ddd")</f>
        <v>Sat</v>
      </c>
    </row>
    <row r="2806" spans="1:8" x14ac:dyDescent="0.25">
      <c r="A2806" s="13"/>
      <c r="B2806" s="14"/>
      <c r="C2806" s="39"/>
      <c r="D2806" s="39"/>
      <c r="E2806" s="36" t="str">
        <f>IF(SUM(C2806:D2806)=0," ",SUM(C2806:D2806))</f>
        <v xml:space="preserve"> </v>
      </c>
      <c r="F2806" s="14"/>
      <c r="G2806" s="120" t="e">
        <f>VLOOKUP($B2806,Information!$C$8:$F$15,4,FALSE)</f>
        <v>#N/A</v>
      </c>
      <c r="H2806" s="210" t="str">
        <f>TEXT(A2806,"ddd")</f>
        <v>Sat</v>
      </c>
    </row>
    <row r="2807" spans="1:8" x14ac:dyDescent="0.25">
      <c r="A2807" s="13"/>
      <c r="B2807" s="14"/>
      <c r="C2807" s="39"/>
      <c r="D2807" s="39"/>
      <c r="E2807" s="36" t="str">
        <f>IF(SUM(C2807:D2807)=0," ",SUM(C2807:D2807))</f>
        <v xml:space="preserve"> </v>
      </c>
      <c r="F2807" s="14"/>
      <c r="G2807" s="120" t="e">
        <f>VLOOKUP($B2807,Information!$C$8:$F$15,4,FALSE)</f>
        <v>#N/A</v>
      </c>
      <c r="H2807" s="210" t="str">
        <f>TEXT(A2807,"ddd")</f>
        <v>Sat</v>
      </c>
    </row>
    <row r="2808" spans="1:8" x14ac:dyDescent="0.25">
      <c r="A2808" s="13"/>
      <c r="B2808" s="14"/>
      <c r="C2808" s="39"/>
      <c r="D2808" s="39"/>
      <c r="E2808" s="36" t="str">
        <f>IF(SUM(C2808:D2808)=0," ",SUM(C2808:D2808))</f>
        <v xml:space="preserve"> </v>
      </c>
      <c r="F2808" s="14"/>
      <c r="G2808" s="120" t="e">
        <f>VLOOKUP($B2808,Information!$C$8:$F$15,4,FALSE)</f>
        <v>#N/A</v>
      </c>
      <c r="H2808" s="210" t="str">
        <f>TEXT(A2808,"ddd")</f>
        <v>Sat</v>
      </c>
    </row>
    <row r="2809" spans="1:8" x14ac:dyDescent="0.25">
      <c r="A2809" s="13"/>
      <c r="B2809" s="14"/>
      <c r="C2809" s="39"/>
      <c r="D2809" s="39"/>
      <c r="E2809" s="36" t="str">
        <f>IF(SUM(C2809:D2809)=0," ",SUM(C2809:D2809))</f>
        <v xml:space="preserve"> </v>
      </c>
      <c r="F2809" s="14"/>
      <c r="G2809" s="120" t="e">
        <f>VLOOKUP($B2809,Information!$C$8:$F$15,4,FALSE)</f>
        <v>#N/A</v>
      </c>
      <c r="H2809" s="210" t="str">
        <f>TEXT(A2809,"ddd")</f>
        <v>Sat</v>
      </c>
    </row>
    <row r="2810" spans="1:8" x14ac:dyDescent="0.25">
      <c r="A2810" s="13"/>
      <c r="B2810" s="14"/>
      <c r="C2810" s="39"/>
      <c r="D2810" s="39"/>
      <c r="E2810" s="36" t="str">
        <f>IF(SUM(C2810:D2810)=0," ",SUM(C2810:D2810))</f>
        <v xml:space="preserve"> </v>
      </c>
      <c r="F2810" s="14"/>
      <c r="G2810" s="120" t="e">
        <f>VLOOKUP($B2810,Information!$C$8:$F$15,4,FALSE)</f>
        <v>#N/A</v>
      </c>
      <c r="H2810" s="210" t="str">
        <f>TEXT(A2810,"ddd")</f>
        <v>Sat</v>
      </c>
    </row>
    <row r="2811" spans="1:8" x14ac:dyDescent="0.25">
      <c r="A2811" s="13"/>
      <c r="B2811" s="14"/>
      <c r="C2811" s="39"/>
      <c r="D2811" s="39"/>
      <c r="E2811" s="36" t="str">
        <f>IF(SUM(C2811:D2811)=0," ",SUM(C2811:D2811))</f>
        <v xml:space="preserve"> </v>
      </c>
      <c r="F2811" s="14"/>
      <c r="G2811" s="120" t="e">
        <f>VLOOKUP($B2811,Information!$C$8:$F$15,4,FALSE)</f>
        <v>#N/A</v>
      </c>
      <c r="H2811" s="210" t="str">
        <f>TEXT(A2811,"ddd")</f>
        <v>Sat</v>
      </c>
    </row>
    <row r="2812" spans="1:8" x14ac:dyDescent="0.25">
      <c r="A2812" s="13"/>
      <c r="B2812" s="14"/>
      <c r="C2812" s="39"/>
      <c r="D2812" s="39"/>
      <c r="E2812" s="36" t="str">
        <f>IF(SUM(C2812:D2812)=0," ",SUM(C2812:D2812))</f>
        <v xml:space="preserve"> </v>
      </c>
      <c r="F2812" s="14"/>
      <c r="G2812" s="120" t="e">
        <f>VLOOKUP($B2812,Information!$C$8:$F$15,4,FALSE)</f>
        <v>#N/A</v>
      </c>
      <c r="H2812" s="210" t="str">
        <f>TEXT(A2812,"ddd")</f>
        <v>Sat</v>
      </c>
    </row>
    <row r="2813" spans="1:8" x14ac:dyDescent="0.25">
      <c r="A2813" s="13"/>
      <c r="B2813" s="14"/>
      <c r="C2813" s="39"/>
      <c r="D2813" s="39"/>
      <c r="E2813" s="36" t="str">
        <f>IF(SUM(C2813:D2813)=0," ",SUM(C2813:D2813))</f>
        <v xml:space="preserve"> </v>
      </c>
      <c r="F2813" s="14"/>
      <c r="G2813" s="120" t="e">
        <f>VLOOKUP($B2813,Information!$C$8:$F$15,4,FALSE)</f>
        <v>#N/A</v>
      </c>
      <c r="H2813" s="210" t="str">
        <f>TEXT(A2813,"ddd")</f>
        <v>Sat</v>
      </c>
    </row>
    <row r="2814" spans="1:8" x14ac:dyDescent="0.25">
      <c r="A2814" s="13"/>
      <c r="B2814" s="14"/>
      <c r="C2814" s="39"/>
      <c r="D2814" s="39"/>
      <c r="E2814" s="36" t="str">
        <f>IF(SUM(C2814:D2814)=0," ",SUM(C2814:D2814))</f>
        <v xml:space="preserve"> </v>
      </c>
      <c r="F2814" s="14"/>
      <c r="G2814" s="120" t="e">
        <f>VLOOKUP($B2814,Information!$C$8:$F$15,4,FALSE)</f>
        <v>#N/A</v>
      </c>
      <c r="H2814" s="210" t="str">
        <f>TEXT(A2814,"ddd")</f>
        <v>Sat</v>
      </c>
    </row>
    <row r="2815" spans="1:8" x14ac:dyDescent="0.25">
      <c r="A2815" s="13"/>
      <c r="B2815" s="14"/>
      <c r="C2815" s="39"/>
      <c r="D2815" s="39"/>
      <c r="E2815" s="36" t="str">
        <f>IF(SUM(C2815:D2815)=0," ",SUM(C2815:D2815))</f>
        <v xml:space="preserve"> </v>
      </c>
      <c r="F2815" s="14"/>
      <c r="G2815" s="120" t="e">
        <f>VLOOKUP($B2815,Information!$C$8:$F$15,4,FALSE)</f>
        <v>#N/A</v>
      </c>
      <c r="H2815" s="210" t="str">
        <f>TEXT(A2815,"ddd")</f>
        <v>Sat</v>
      </c>
    </row>
    <row r="2816" spans="1:8" x14ac:dyDescent="0.25">
      <c r="A2816" s="13"/>
      <c r="B2816" s="14"/>
      <c r="C2816" s="39"/>
      <c r="D2816" s="39"/>
      <c r="E2816" s="36" t="str">
        <f>IF(SUM(C2816:D2816)=0," ",SUM(C2816:D2816))</f>
        <v xml:space="preserve"> </v>
      </c>
      <c r="F2816" s="14"/>
      <c r="G2816" s="120" t="e">
        <f>VLOOKUP($B2816,Information!$C$8:$F$15,4,FALSE)</f>
        <v>#N/A</v>
      </c>
      <c r="H2816" s="210" t="str">
        <f>TEXT(A2816,"ddd")</f>
        <v>Sat</v>
      </c>
    </row>
    <row r="2817" spans="1:8" x14ac:dyDescent="0.25">
      <c r="A2817" s="13"/>
      <c r="B2817" s="14"/>
      <c r="C2817" s="39"/>
      <c r="D2817" s="39"/>
      <c r="E2817" s="36" t="str">
        <f>IF(SUM(C2817:D2817)=0," ",SUM(C2817:D2817))</f>
        <v xml:space="preserve"> </v>
      </c>
      <c r="F2817" s="14"/>
      <c r="G2817" s="120" t="e">
        <f>VLOOKUP($B2817,Information!$C$8:$F$15,4,FALSE)</f>
        <v>#N/A</v>
      </c>
      <c r="H2817" s="210" t="str">
        <f>TEXT(A2817,"ddd")</f>
        <v>Sat</v>
      </c>
    </row>
    <row r="2818" spans="1:8" x14ac:dyDescent="0.25">
      <c r="A2818" s="13"/>
      <c r="B2818" s="14"/>
      <c r="C2818" s="39"/>
      <c r="D2818" s="39"/>
      <c r="E2818" s="36" t="str">
        <f>IF(SUM(C2818:D2818)=0," ",SUM(C2818:D2818))</f>
        <v xml:space="preserve"> </v>
      </c>
      <c r="F2818" s="14"/>
      <c r="G2818" s="120" t="e">
        <f>VLOOKUP($B2818,Information!$C$8:$F$15,4,FALSE)</f>
        <v>#N/A</v>
      </c>
      <c r="H2818" s="210" t="str">
        <f>TEXT(A2818,"ddd")</f>
        <v>Sat</v>
      </c>
    </row>
    <row r="2819" spans="1:8" x14ac:dyDescent="0.25">
      <c r="A2819" s="13"/>
      <c r="B2819" s="14"/>
      <c r="C2819" s="39"/>
      <c r="D2819" s="39"/>
      <c r="E2819" s="36" t="str">
        <f>IF(SUM(C2819:D2819)=0," ",SUM(C2819:D2819))</f>
        <v xml:space="preserve"> </v>
      </c>
      <c r="F2819" s="14"/>
      <c r="G2819" s="120" t="e">
        <f>VLOOKUP($B2819,Information!$C$8:$F$15,4,FALSE)</f>
        <v>#N/A</v>
      </c>
      <c r="H2819" s="210" t="str">
        <f>TEXT(A2819,"ddd")</f>
        <v>Sat</v>
      </c>
    </row>
    <row r="2820" spans="1:8" x14ac:dyDescent="0.25">
      <c r="A2820" s="13"/>
      <c r="B2820" s="14"/>
      <c r="C2820" s="39"/>
      <c r="D2820" s="39"/>
      <c r="E2820" s="36" t="str">
        <f>IF(SUM(C2820:D2820)=0," ",SUM(C2820:D2820))</f>
        <v xml:space="preserve"> </v>
      </c>
      <c r="F2820" s="14"/>
      <c r="G2820" s="120" t="e">
        <f>VLOOKUP($B2820,Information!$C$8:$F$15,4,FALSE)</f>
        <v>#N/A</v>
      </c>
      <c r="H2820" s="210" t="str">
        <f>TEXT(A2820,"ddd")</f>
        <v>Sat</v>
      </c>
    </row>
    <row r="2821" spans="1:8" x14ac:dyDescent="0.25">
      <c r="A2821" s="13"/>
      <c r="B2821" s="14"/>
      <c r="C2821" s="39"/>
      <c r="D2821" s="39"/>
      <c r="E2821" s="36" t="str">
        <f>IF(SUM(C2821:D2821)=0," ",SUM(C2821:D2821))</f>
        <v xml:space="preserve"> </v>
      </c>
      <c r="F2821" s="14"/>
      <c r="G2821" s="120" t="e">
        <f>VLOOKUP($B2821,Information!$C$8:$F$15,4,FALSE)</f>
        <v>#N/A</v>
      </c>
      <c r="H2821" s="210" t="str">
        <f>TEXT(A2821,"ddd")</f>
        <v>Sat</v>
      </c>
    </row>
    <row r="2822" spans="1:8" x14ac:dyDescent="0.25">
      <c r="A2822" s="13"/>
      <c r="B2822" s="14"/>
      <c r="C2822" s="39"/>
      <c r="D2822" s="39"/>
      <c r="E2822" s="36" t="str">
        <f>IF(SUM(C2822:D2822)=0," ",SUM(C2822:D2822))</f>
        <v xml:space="preserve"> </v>
      </c>
      <c r="F2822" s="14"/>
      <c r="G2822" s="120" t="e">
        <f>VLOOKUP($B2822,Information!$C$8:$F$15,4,FALSE)</f>
        <v>#N/A</v>
      </c>
      <c r="H2822" s="210" t="str">
        <f>TEXT(A2822,"ddd")</f>
        <v>Sat</v>
      </c>
    </row>
    <row r="2823" spans="1:8" x14ac:dyDescent="0.25">
      <c r="A2823" s="13"/>
      <c r="B2823" s="14"/>
      <c r="C2823" s="39"/>
      <c r="D2823" s="39"/>
      <c r="E2823" s="36" t="str">
        <f>IF(SUM(C2823:D2823)=0," ",SUM(C2823:D2823))</f>
        <v xml:space="preserve"> </v>
      </c>
      <c r="F2823" s="14"/>
      <c r="G2823" s="120" t="e">
        <f>VLOOKUP($B2823,Information!$C$8:$F$15,4,FALSE)</f>
        <v>#N/A</v>
      </c>
      <c r="H2823" s="210" t="str">
        <f>TEXT(A2823,"ddd")</f>
        <v>Sat</v>
      </c>
    </row>
    <row r="2824" spans="1:8" x14ac:dyDescent="0.25">
      <c r="A2824" s="13"/>
      <c r="B2824" s="14"/>
      <c r="C2824" s="39"/>
      <c r="D2824" s="39"/>
      <c r="E2824" s="36" t="str">
        <f>IF(SUM(C2824:D2824)=0," ",SUM(C2824:D2824))</f>
        <v xml:space="preserve"> </v>
      </c>
      <c r="F2824" s="14"/>
      <c r="G2824" s="120" t="e">
        <f>VLOOKUP($B2824,Information!$C$8:$F$15,4,FALSE)</f>
        <v>#N/A</v>
      </c>
      <c r="H2824" s="210" t="str">
        <f>TEXT(A2824,"ddd")</f>
        <v>Sat</v>
      </c>
    </row>
    <row r="2825" spans="1:8" x14ac:dyDescent="0.25">
      <c r="A2825" s="13"/>
      <c r="B2825" s="14"/>
      <c r="C2825" s="39"/>
      <c r="D2825" s="39"/>
      <c r="E2825" s="36" t="str">
        <f>IF(SUM(C2825:D2825)=0," ",SUM(C2825:D2825))</f>
        <v xml:space="preserve"> </v>
      </c>
      <c r="F2825" s="14"/>
      <c r="G2825" s="120" t="e">
        <f>VLOOKUP($B2825,Information!$C$8:$F$15,4,FALSE)</f>
        <v>#N/A</v>
      </c>
      <c r="H2825" s="210" t="str">
        <f>TEXT(A2825,"ddd")</f>
        <v>Sat</v>
      </c>
    </row>
    <row r="2826" spans="1:8" x14ac:dyDescent="0.25">
      <c r="A2826" s="13"/>
      <c r="B2826" s="14"/>
      <c r="C2826" s="39"/>
      <c r="D2826" s="39"/>
      <c r="E2826" s="36" t="str">
        <f>IF(SUM(C2826:D2826)=0," ",SUM(C2826:D2826))</f>
        <v xml:space="preserve"> </v>
      </c>
      <c r="F2826" s="14"/>
      <c r="G2826" s="120" t="e">
        <f>VLOOKUP($B2826,Information!$C$8:$F$15,4,FALSE)</f>
        <v>#N/A</v>
      </c>
      <c r="H2826" s="210" t="str">
        <f>TEXT(A2826,"ddd")</f>
        <v>Sat</v>
      </c>
    </row>
    <row r="2827" spans="1:8" x14ac:dyDescent="0.25">
      <c r="A2827" s="13"/>
      <c r="B2827" s="14"/>
      <c r="C2827" s="39"/>
      <c r="D2827" s="39"/>
      <c r="E2827" s="36" t="str">
        <f>IF(SUM(C2827:D2827)=0," ",SUM(C2827:D2827))</f>
        <v xml:space="preserve"> </v>
      </c>
      <c r="F2827" s="14"/>
      <c r="G2827" s="120" t="e">
        <f>VLOOKUP($B2827,Information!$C$8:$F$15,4,FALSE)</f>
        <v>#N/A</v>
      </c>
      <c r="H2827" s="210" t="str">
        <f>TEXT(A2827,"ddd")</f>
        <v>Sat</v>
      </c>
    </row>
    <row r="2828" spans="1:8" x14ac:dyDescent="0.25">
      <c r="A2828" s="13"/>
      <c r="B2828" s="14"/>
      <c r="C2828" s="39"/>
      <c r="D2828" s="39"/>
      <c r="E2828" s="36" t="str">
        <f>IF(SUM(C2828:D2828)=0," ",SUM(C2828:D2828))</f>
        <v xml:space="preserve"> </v>
      </c>
      <c r="F2828" s="14"/>
      <c r="G2828" s="120" t="e">
        <f>VLOOKUP($B2828,Information!$C$8:$F$15,4,FALSE)</f>
        <v>#N/A</v>
      </c>
      <c r="H2828" s="210" t="str">
        <f>TEXT(A2828,"ddd")</f>
        <v>Sat</v>
      </c>
    </row>
    <row r="2829" spans="1:8" x14ac:dyDescent="0.25">
      <c r="A2829" s="13"/>
      <c r="B2829" s="14"/>
      <c r="C2829" s="39"/>
      <c r="D2829" s="39"/>
      <c r="E2829" s="36" t="str">
        <f>IF(SUM(C2829:D2829)=0," ",SUM(C2829:D2829))</f>
        <v xml:space="preserve"> </v>
      </c>
      <c r="F2829" s="14"/>
      <c r="G2829" s="120" t="e">
        <f>VLOOKUP($B2829,Information!$C$8:$F$15,4,FALSE)</f>
        <v>#N/A</v>
      </c>
      <c r="H2829" s="210" t="str">
        <f>TEXT(A2829,"ddd")</f>
        <v>Sat</v>
      </c>
    </row>
    <row r="2830" spans="1:8" x14ac:dyDescent="0.25">
      <c r="A2830" s="13"/>
      <c r="B2830" s="14"/>
      <c r="C2830" s="39"/>
      <c r="D2830" s="39"/>
      <c r="E2830" s="36" t="str">
        <f>IF(SUM(C2830:D2830)=0," ",SUM(C2830:D2830))</f>
        <v xml:space="preserve"> </v>
      </c>
      <c r="F2830" s="14"/>
      <c r="G2830" s="120" t="e">
        <f>VLOOKUP($B2830,Information!$C$8:$F$15,4,FALSE)</f>
        <v>#N/A</v>
      </c>
      <c r="H2830" s="210" t="str">
        <f>TEXT(A2830,"ddd")</f>
        <v>Sat</v>
      </c>
    </row>
    <row r="2831" spans="1:8" x14ac:dyDescent="0.25">
      <c r="A2831" s="13"/>
      <c r="B2831" s="14"/>
      <c r="C2831" s="39"/>
      <c r="D2831" s="39"/>
      <c r="E2831" s="36" t="str">
        <f>IF(SUM(C2831:D2831)=0," ",SUM(C2831:D2831))</f>
        <v xml:space="preserve"> </v>
      </c>
      <c r="F2831" s="14"/>
      <c r="G2831" s="120" t="e">
        <f>VLOOKUP($B2831,Information!$C$8:$F$15,4,FALSE)</f>
        <v>#N/A</v>
      </c>
      <c r="H2831" s="210" t="str">
        <f>TEXT(A2831,"ddd")</f>
        <v>Sat</v>
      </c>
    </row>
    <row r="2832" spans="1:8" x14ac:dyDescent="0.25">
      <c r="A2832" s="13"/>
      <c r="B2832" s="14"/>
      <c r="C2832" s="39"/>
      <c r="D2832" s="39"/>
      <c r="E2832" s="36" t="str">
        <f>IF(SUM(C2832:D2832)=0," ",SUM(C2832:D2832))</f>
        <v xml:space="preserve"> </v>
      </c>
      <c r="F2832" s="14"/>
      <c r="G2832" s="120" t="e">
        <f>VLOOKUP($B2832,Information!$C$8:$F$15,4,FALSE)</f>
        <v>#N/A</v>
      </c>
      <c r="H2832" s="210" t="str">
        <f>TEXT(A2832,"ddd")</f>
        <v>Sat</v>
      </c>
    </row>
    <row r="2833" spans="1:8" x14ac:dyDescent="0.25">
      <c r="A2833" s="13"/>
      <c r="B2833" s="14"/>
      <c r="C2833" s="39"/>
      <c r="D2833" s="39"/>
      <c r="E2833" s="36" t="str">
        <f>IF(SUM(C2833:D2833)=0," ",SUM(C2833:D2833))</f>
        <v xml:space="preserve"> </v>
      </c>
      <c r="F2833" s="14"/>
      <c r="G2833" s="120" t="e">
        <f>VLOOKUP($B2833,Information!$C$8:$F$15,4,FALSE)</f>
        <v>#N/A</v>
      </c>
      <c r="H2833" s="210" t="str">
        <f>TEXT(A2833,"ddd")</f>
        <v>Sat</v>
      </c>
    </row>
    <row r="2834" spans="1:8" x14ac:dyDescent="0.25">
      <c r="A2834" s="13"/>
      <c r="B2834" s="14"/>
      <c r="C2834" s="39"/>
      <c r="D2834" s="39"/>
      <c r="E2834" s="36" t="str">
        <f>IF(SUM(C2834:D2834)=0," ",SUM(C2834:D2834))</f>
        <v xml:space="preserve"> </v>
      </c>
      <c r="F2834" s="14"/>
      <c r="G2834" s="120" t="e">
        <f>VLOOKUP($B2834,Information!$C$8:$F$15,4,FALSE)</f>
        <v>#N/A</v>
      </c>
      <c r="H2834" s="210" t="str">
        <f>TEXT(A2834,"ddd")</f>
        <v>Sat</v>
      </c>
    </row>
    <row r="2835" spans="1:8" x14ac:dyDescent="0.25">
      <c r="A2835" s="13"/>
      <c r="B2835" s="14"/>
      <c r="C2835" s="39"/>
      <c r="D2835" s="39"/>
      <c r="E2835" s="36" t="str">
        <f>IF(SUM(C2835:D2835)=0," ",SUM(C2835:D2835))</f>
        <v xml:space="preserve"> </v>
      </c>
      <c r="F2835" s="14"/>
      <c r="G2835" s="120" t="e">
        <f>VLOOKUP($B2835,Information!$C$8:$F$15,4,FALSE)</f>
        <v>#N/A</v>
      </c>
      <c r="H2835" s="210" t="str">
        <f>TEXT(A2835,"ddd")</f>
        <v>Sat</v>
      </c>
    </row>
    <row r="2836" spans="1:8" x14ac:dyDescent="0.25">
      <c r="A2836" s="13"/>
      <c r="B2836" s="14"/>
      <c r="C2836" s="39"/>
      <c r="D2836" s="39"/>
      <c r="E2836" s="36" t="str">
        <f>IF(SUM(C2836:D2836)=0," ",SUM(C2836:D2836))</f>
        <v xml:space="preserve"> </v>
      </c>
      <c r="F2836" s="14"/>
      <c r="G2836" s="120" t="e">
        <f>VLOOKUP($B2836,Information!$C$8:$F$15,4,FALSE)</f>
        <v>#N/A</v>
      </c>
      <c r="H2836" s="210" t="str">
        <f>TEXT(A2836,"ddd")</f>
        <v>Sat</v>
      </c>
    </row>
    <row r="2837" spans="1:8" x14ac:dyDescent="0.25">
      <c r="A2837" s="13"/>
      <c r="B2837" s="14"/>
      <c r="C2837" s="39"/>
      <c r="D2837" s="39"/>
      <c r="E2837" s="36" t="str">
        <f>IF(SUM(C2837:D2837)=0," ",SUM(C2837:D2837))</f>
        <v xml:space="preserve"> </v>
      </c>
      <c r="F2837" s="14"/>
      <c r="G2837" s="120" t="e">
        <f>VLOOKUP($B2837,Information!$C$8:$F$15,4,FALSE)</f>
        <v>#N/A</v>
      </c>
      <c r="H2837" s="210" t="str">
        <f>TEXT(A2837,"ddd")</f>
        <v>Sat</v>
      </c>
    </row>
    <row r="2838" spans="1:8" x14ac:dyDescent="0.25">
      <c r="A2838" s="13"/>
      <c r="B2838" s="14"/>
      <c r="C2838" s="39"/>
      <c r="D2838" s="39"/>
      <c r="E2838" s="36" t="str">
        <f>IF(SUM(C2838:D2838)=0," ",SUM(C2838:D2838))</f>
        <v xml:space="preserve"> </v>
      </c>
      <c r="F2838" s="14"/>
      <c r="G2838" s="120" t="e">
        <f>VLOOKUP($B2838,Information!$C$8:$F$15,4,FALSE)</f>
        <v>#N/A</v>
      </c>
      <c r="H2838" s="210" t="str">
        <f>TEXT(A2838,"ddd")</f>
        <v>Sat</v>
      </c>
    </row>
    <row r="2839" spans="1:8" x14ac:dyDescent="0.25">
      <c r="A2839" s="13"/>
      <c r="B2839" s="14"/>
      <c r="C2839" s="39"/>
      <c r="D2839" s="39"/>
      <c r="E2839" s="36" t="str">
        <f>IF(SUM(C2839:D2839)=0," ",SUM(C2839:D2839))</f>
        <v xml:space="preserve"> </v>
      </c>
      <c r="F2839" s="14"/>
      <c r="G2839" s="120" t="e">
        <f>VLOOKUP($B2839,Information!$C$8:$F$15,4,FALSE)</f>
        <v>#N/A</v>
      </c>
      <c r="H2839" s="210" t="str">
        <f>TEXT(A2839,"ddd")</f>
        <v>Sat</v>
      </c>
    </row>
    <row r="2840" spans="1:8" x14ac:dyDescent="0.25">
      <c r="A2840" s="13"/>
      <c r="B2840" s="14"/>
      <c r="C2840" s="39"/>
      <c r="D2840" s="39"/>
      <c r="E2840" s="36" t="str">
        <f>IF(SUM(C2840:D2840)=0," ",SUM(C2840:D2840))</f>
        <v xml:space="preserve"> </v>
      </c>
      <c r="F2840" s="14"/>
      <c r="G2840" s="120" t="e">
        <f>VLOOKUP($B2840,Information!$C$8:$F$15,4,FALSE)</f>
        <v>#N/A</v>
      </c>
      <c r="H2840" s="210" t="str">
        <f>TEXT(A2840,"ddd")</f>
        <v>Sat</v>
      </c>
    </row>
    <row r="2841" spans="1:8" x14ac:dyDescent="0.25">
      <c r="A2841" s="13"/>
      <c r="B2841" s="14"/>
      <c r="C2841" s="39"/>
      <c r="D2841" s="39"/>
      <c r="E2841" s="36" t="str">
        <f>IF(SUM(C2841:D2841)=0," ",SUM(C2841:D2841))</f>
        <v xml:space="preserve"> </v>
      </c>
      <c r="F2841" s="14"/>
      <c r="G2841" s="120" t="e">
        <f>VLOOKUP($B2841,Information!$C$8:$F$15,4,FALSE)</f>
        <v>#N/A</v>
      </c>
      <c r="H2841" s="210" t="str">
        <f>TEXT(A2841,"ddd")</f>
        <v>Sat</v>
      </c>
    </row>
    <row r="2842" spans="1:8" x14ac:dyDescent="0.25">
      <c r="A2842" s="13"/>
      <c r="B2842" s="14"/>
      <c r="C2842" s="39"/>
      <c r="D2842" s="39"/>
      <c r="E2842" s="36" t="str">
        <f>IF(SUM(C2842:D2842)=0," ",SUM(C2842:D2842))</f>
        <v xml:space="preserve"> </v>
      </c>
      <c r="F2842" s="14"/>
      <c r="G2842" s="120" t="e">
        <f>VLOOKUP($B2842,Information!$C$8:$F$15,4,FALSE)</f>
        <v>#N/A</v>
      </c>
      <c r="H2842" s="210" t="str">
        <f>TEXT(A2842,"ddd")</f>
        <v>Sat</v>
      </c>
    </row>
    <row r="2843" spans="1:8" x14ac:dyDescent="0.25">
      <c r="A2843" s="13"/>
      <c r="B2843" s="14"/>
      <c r="C2843" s="39"/>
      <c r="D2843" s="39"/>
      <c r="E2843" s="36" t="str">
        <f>IF(SUM(C2843:D2843)=0," ",SUM(C2843:D2843))</f>
        <v xml:space="preserve"> </v>
      </c>
      <c r="F2843" s="14"/>
      <c r="G2843" s="120" t="e">
        <f>VLOOKUP($B2843,Information!$C$8:$F$15,4,FALSE)</f>
        <v>#N/A</v>
      </c>
      <c r="H2843" s="210" t="str">
        <f>TEXT(A2843,"ddd")</f>
        <v>Sat</v>
      </c>
    </row>
    <row r="2844" spans="1:8" x14ac:dyDescent="0.25">
      <c r="A2844" s="13"/>
      <c r="B2844" s="14"/>
      <c r="C2844" s="39"/>
      <c r="D2844" s="39"/>
      <c r="E2844" s="36" t="str">
        <f>IF(SUM(C2844:D2844)=0," ",SUM(C2844:D2844))</f>
        <v xml:space="preserve"> </v>
      </c>
      <c r="F2844" s="14"/>
      <c r="G2844" s="120" t="e">
        <f>VLOOKUP($B2844,Information!$C$8:$F$15,4,FALSE)</f>
        <v>#N/A</v>
      </c>
      <c r="H2844" s="210" t="str">
        <f>TEXT(A2844,"ddd")</f>
        <v>Sat</v>
      </c>
    </row>
    <row r="2845" spans="1:8" x14ac:dyDescent="0.25">
      <c r="A2845" s="13"/>
      <c r="B2845" s="14"/>
      <c r="C2845" s="39"/>
      <c r="D2845" s="39"/>
      <c r="E2845" s="36" t="str">
        <f>IF(SUM(C2845:D2845)=0," ",SUM(C2845:D2845))</f>
        <v xml:space="preserve"> </v>
      </c>
      <c r="F2845" s="14"/>
      <c r="G2845" s="120" t="e">
        <f>VLOOKUP($B2845,Information!$C$8:$F$15,4,FALSE)</f>
        <v>#N/A</v>
      </c>
      <c r="H2845" s="210" t="str">
        <f>TEXT(A2845,"ddd")</f>
        <v>Sat</v>
      </c>
    </row>
    <row r="2846" spans="1:8" x14ac:dyDescent="0.25">
      <c r="A2846" s="13"/>
      <c r="B2846" s="14"/>
      <c r="C2846" s="39"/>
      <c r="D2846" s="39"/>
      <c r="E2846" s="36" t="str">
        <f>IF(SUM(C2846:D2846)=0," ",SUM(C2846:D2846))</f>
        <v xml:space="preserve"> </v>
      </c>
      <c r="F2846" s="14"/>
      <c r="G2846" s="120" t="e">
        <f>VLOOKUP($B2846,Information!$C$8:$F$15,4,FALSE)</f>
        <v>#N/A</v>
      </c>
      <c r="H2846" s="210" t="str">
        <f>TEXT(A2846,"ddd")</f>
        <v>Sat</v>
      </c>
    </row>
    <row r="2847" spans="1:8" x14ac:dyDescent="0.25">
      <c r="A2847" s="13"/>
      <c r="B2847" s="14"/>
      <c r="C2847" s="39"/>
      <c r="D2847" s="39"/>
      <c r="E2847" s="36" t="str">
        <f>IF(SUM(C2847:D2847)=0," ",SUM(C2847:D2847))</f>
        <v xml:space="preserve"> </v>
      </c>
      <c r="F2847" s="14"/>
      <c r="G2847" s="120" t="e">
        <f>VLOOKUP($B2847,Information!$C$8:$F$15,4,FALSE)</f>
        <v>#N/A</v>
      </c>
      <c r="H2847" s="210" t="str">
        <f>TEXT(A2847,"ddd")</f>
        <v>Sat</v>
      </c>
    </row>
    <row r="2848" spans="1:8" x14ac:dyDescent="0.25">
      <c r="A2848" s="13"/>
      <c r="B2848" s="14"/>
      <c r="C2848" s="39"/>
      <c r="D2848" s="39"/>
      <c r="E2848" s="36" t="str">
        <f>IF(SUM(C2848:D2848)=0," ",SUM(C2848:D2848))</f>
        <v xml:space="preserve"> </v>
      </c>
      <c r="F2848" s="14"/>
      <c r="G2848" s="120" t="e">
        <f>VLOOKUP($B2848,Information!$C$8:$F$15,4,FALSE)</f>
        <v>#N/A</v>
      </c>
      <c r="H2848" s="210" t="str">
        <f>TEXT(A2848,"ddd")</f>
        <v>Sat</v>
      </c>
    </row>
    <row r="2849" spans="1:8" x14ac:dyDescent="0.25">
      <c r="A2849" s="13"/>
      <c r="B2849" s="14"/>
      <c r="C2849" s="39"/>
      <c r="D2849" s="39"/>
      <c r="E2849" s="36" t="str">
        <f>IF(SUM(C2849:D2849)=0," ",SUM(C2849:D2849))</f>
        <v xml:space="preserve"> </v>
      </c>
      <c r="F2849" s="14"/>
      <c r="G2849" s="120" t="e">
        <f>VLOOKUP($B2849,Information!$C$8:$F$15,4,FALSE)</f>
        <v>#N/A</v>
      </c>
      <c r="H2849" s="210" t="str">
        <f>TEXT(A2849,"ddd")</f>
        <v>Sat</v>
      </c>
    </row>
    <row r="2850" spans="1:8" x14ac:dyDescent="0.25">
      <c r="A2850" s="13"/>
      <c r="B2850" s="14"/>
      <c r="C2850" s="39"/>
      <c r="D2850" s="39"/>
      <c r="E2850" s="36" t="str">
        <f>IF(SUM(C2850:D2850)=0," ",SUM(C2850:D2850))</f>
        <v xml:space="preserve"> </v>
      </c>
      <c r="F2850" s="14"/>
      <c r="G2850" s="120" t="e">
        <f>VLOOKUP($B2850,Information!$C$8:$F$15,4,FALSE)</f>
        <v>#N/A</v>
      </c>
      <c r="H2850" s="210" t="str">
        <f>TEXT(A2850,"ddd")</f>
        <v>Sat</v>
      </c>
    </row>
    <row r="2851" spans="1:8" x14ac:dyDescent="0.25">
      <c r="A2851" s="13"/>
      <c r="B2851" s="14"/>
      <c r="C2851" s="39"/>
      <c r="D2851" s="39"/>
      <c r="E2851" s="36" t="str">
        <f>IF(SUM(C2851:D2851)=0," ",SUM(C2851:D2851))</f>
        <v xml:space="preserve"> </v>
      </c>
      <c r="F2851" s="14"/>
      <c r="G2851" s="120" t="e">
        <f>VLOOKUP($B2851,Information!$C$8:$F$15,4,FALSE)</f>
        <v>#N/A</v>
      </c>
      <c r="H2851" s="210" t="str">
        <f>TEXT(A2851,"ddd")</f>
        <v>Sat</v>
      </c>
    </row>
    <row r="2852" spans="1:8" x14ac:dyDescent="0.25">
      <c r="A2852" s="13"/>
      <c r="B2852" s="14"/>
      <c r="C2852" s="39"/>
      <c r="D2852" s="39"/>
      <c r="E2852" s="36" t="str">
        <f>IF(SUM(C2852:D2852)=0," ",SUM(C2852:D2852))</f>
        <v xml:space="preserve"> </v>
      </c>
      <c r="F2852" s="14"/>
      <c r="G2852" s="120" t="e">
        <f>VLOOKUP($B2852,Information!$C$8:$F$15,4,FALSE)</f>
        <v>#N/A</v>
      </c>
      <c r="H2852" s="210" t="str">
        <f>TEXT(A2852,"ddd")</f>
        <v>Sat</v>
      </c>
    </row>
    <row r="2853" spans="1:8" x14ac:dyDescent="0.25">
      <c r="A2853" s="13"/>
      <c r="B2853" s="14"/>
      <c r="C2853" s="39"/>
      <c r="D2853" s="39"/>
      <c r="E2853" s="36" t="str">
        <f>IF(SUM(C2853:D2853)=0," ",SUM(C2853:D2853))</f>
        <v xml:space="preserve"> </v>
      </c>
      <c r="F2853" s="14"/>
      <c r="G2853" s="120" t="e">
        <f>VLOOKUP($B2853,Information!$C$8:$F$15,4,FALSE)</f>
        <v>#N/A</v>
      </c>
      <c r="H2853" s="210" t="str">
        <f>TEXT(A2853,"ddd")</f>
        <v>Sat</v>
      </c>
    </row>
    <row r="2854" spans="1:8" x14ac:dyDescent="0.25">
      <c r="A2854" s="13"/>
      <c r="B2854" s="14"/>
      <c r="C2854" s="39"/>
      <c r="D2854" s="39"/>
      <c r="E2854" s="36" t="str">
        <f>IF(SUM(C2854:D2854)=0," ",SUM(C2854:D2854))</f>
        <v xml:space="preserve"> </v>
      </c>
      <c r="F2854" s="14"/>
      <c r="G2854" s="120" t="e">
        <f>VLOOKUP($B2854,Information!$C$8:$F$15,4,FALSE)</f>
        <v>#N/A</v>
      </c>
      <c r="H2854" s="210" t="str">
        <f>TEXT(A2854,"ddd")</f>
        <v>Sat</v>
      </c>
    </row>
    <row r="2855" spans="1:8" x14ac:dyDescent="0.25">
      <c r="A2855" s="13"/>
      <c r="B2855" s="14"/>
      <c r="C2855" s="39"/>
      <c r="D2855" s="39"/>
      <c r="E2855" s="36" t="str">
        <f>IF(SUM(C2855:D2855)=0," ",SUM(C2855:D2855))</f>
        <v xml:space="preserve"> </v>
      </c>
      <c r="F2855" s="14"/>
      <c r="G2855" s="120" t="e">
        <f>VLOOKUP($B2855,Information!$C$8:$F$15,4,FALSE)</f>
        <v>#N/A</v>
      </c>
      <c r="H2855" s="210" t="str">
        <f>TEXT(A2855,"ddd")</f>
        <v>Sat</v>
      </c>
    </row>
    <row r="2856" spans="1:8" x14ac:dyDescent="0.25">
      <c r="A2856" s="13"/>
      <c r="B2856" s="14"/>
      <c r="C2856" s="39"/>
      <c r="D2856" s="39"/>
      <c r="E2856" s="36" t="str">
        <f>IF(SUM(C2856:D2856)=0," ",SUM(C2856:D2856))</f>
        <v xml:space="preserve"> </v>
      </c>
      <c r="F2856" s="14"/>
      <c r="G2856" s="120" t="e">
        <f>VLOOKUP($B2856,Information!$C$8:$F$15,4,FALSE)</f>
        <v>#N/A</v>
      </c>
      <c r="H2856" s="210" t="str">
        <f>TEXT(A2856,"ddd")</f>
        <v>Sat</v>
      </c>
    </row>
    <row r="2857" spans="1:8" x14ac:dyDescent="0.25">
      <c r="A2857" s="13"/>
      <c r="B2857" s="14"/>
      <c r="C2857" s="39"/>
      <c r="D2857" s="39"/>
      <c r="E2857" s="36" t="str">
        <f>IF(SUM(C2857:D2857)=0," ",SUM(C2857:D2857))</f>
        <v xml:space="preserve"> </v>
      </c>
      <c r="F2857" s="14"/>
      <c r="G2857" s="120" t="e">
        <f>VLOOKUP($B2857,Information!$C$8:$F$15,4,FALSE)</f>
        <v>#N/A</v>
      </c>
      <c r="H2857" s="210" t="str">
        <f>TEXT(A2857,"ddd")</f>
        <v>Sat</v>
      </c>
    </row>
    <row r="2858" spans="1:8" x14ac:dyDescent="0.25">
      <c r="A2858" s="13"/>
      <c r="B2858" s="14"/>
      <c r="C2858" s="39"/>
      <c r="D2858" s="39"/>
      <c r="E2858" s="36" t="str">
        <f>IF(SUM(C2858:D2858)=0," ",SUM(C2858:D2858))</f>
        <v xml:space="preserve"> </v>
      </c>
      <c r="F2858" s="14"/>
      <c r="G2858" s="120" t="e">
        <f>VLOOKUP($B2858,Information!$C$8:$F$15,4,FALSE)</f>
        <v>#N/A</v>
      </c>
      <c r="H2858" s="210" t="str">
        <f>TEXT(A2858,"ddd")</f>
        <v>Sat</v>
      </c>
    </row>
    <row r="2859" spans="1:8" x14ac:dyDescent="0.25">
      <c r="A2859" s="13"/>
      <c r="B2859" s="14"/>
      <c r="C2859" s="39"/>
      <c r="D2859" s="39"/>
      <c r="E2859" s="36" t="str">
        <f>IF(SUM(C2859:D2859)=0," ",SUM(C2859:D2859))</f>
        <v xml:space="preserve"> </v>
      </c>
      <c r="F2859" s="14"/>
      <c r="G2859" s="120" t="e">
        <f>VLOOKUP($B2859,Information!$C$8:$F$15,4,FALSE)</f>
        <v>#N/A</v>
      </c>
      <c r="H2859" s="210" t="str">
        <f>TEXT(A2859,"ddd")</f>
        <v>Sat</v>
      </c>
    </row>
    <row r="2860" spans="1:8" x14ac:dyDescent="0.25">
      <c r="A2860" s="13"/>
      <c r="B2860" s="14"/>
      <c r="C2860" s="39"/>
      <c r="D2860" s="39"/>
      <c r="E2860" s="36" t="str">
        <f>IF(SUM(C2860:D2860)=0," ",SUM(C2860:D2860))</f>
        <v xml:space="preserve"> </v>
      </c>
      <c r="F2860" s="14"/>
      <c r="G2860" s="120" t="e">
        <f>VLOOKUP($B2860,Information!$C$8:$F$15,4,FALSE)</f>
        <v>#N/A</v>
      </c>
      <c r="H2860" s="210" t="str">
        <f>TEXT(A2860,"ddd")</f>
        <v>Sat</v>
      </c>
    </row>
    <row r="2861" spans="1:8" x14ac:dyDescent="0.25">
      <c r="A2861" s="13"/>
      <c r="B2861" s="14"/>
      <c r="C2861" s="39"/>
      <c r="D2861" s="39"/>
      <c r="E2861" s="36" t="str">
        <f>IF(SUM(C2861:D2861)=0," ",SUM(C2861:D2861))</f>
        <v xml:space="preserve"> </v>
      </c>
      <c r="F2861" s="14"/>
      <c r="G2861" s="120" t="e">
        <f>VLOOKUP($B2861,Information!$C$8:$F$15,4,FALSE)</f>
        <v>#N/A</v>
      </c>
      <c r="H2861" s="210" t="str">
        <f>TEXT(A2861,"ddd")</f>
        <v>Sat</v>
      </c>
    </row>
    <row r="2862" spans="1:8" x14ac:dyDescent="0.25">
      <c r="A2862" s="13"/>
      <c r="B2862" s="14"/>
      <c r="C2862" s="39"/>
      <c r="D2862" s="39"/>
      <c r="E2862" s="36" t="str">
        <f>IF(SUM(C2862:D2862)=0," ",SUM(C2862:D2862))</f>
        <v xml:space="preserve"> </v>
      </c>
      <c r="F2862" s="14"/>
      <c r="G2862" s="120" t="e">
        <f>VLOOKUP($B2862,Information!$C$8:$F$15,4,FALSE)</f>
        <v>#N/A</v>
      </c>
      <c r="H2862" s="210" t="str">
        <f>TEXT(A2862,"ddd")</f>
        <v>Sat</v>
      </c>
    </row>
    <row r="2863" spans="1:8" x14ac:dyDescent="0.25">
      <c r="A2863" s="13"/>
      <c r="B2863" s="14"/>
      <c r="C2863" s="39"/>
      <c r="D2863" s="39"/>
      <c r="E2863" s="36" t="str">
        <f>IF(SUM(C2863:D2863)=0," ",SUM(C2863:D2863))</f>
        <v xml:space="preserve"> </v>
      </c>
      <c r="F2863" s="14"/>
      <c r="G2863" s="120" t="e">
        <f>VLOOKUP($B2863,Information!$C$8:$F$15,4,FALSE)</f>
        <v>#N/A</v>
      </c>
      <c r="H2863" s="210" t="str">
        <f>TEXT(A2863,"ddd")</f>
        <v>Sat</v>
      </c>
    </row>
    <row r="2864" spans="1:8" x14ac:dyDescent="0.25">
      <c r="A2864" s="13"/>
      <c r="B2864" s="14"/>
      <c r="C2864" s="39"/>
      <c r="D2864" s="39"/>
      <c r="E2864" s="36" t="str">
        <f>IF(SUM(C2864:D2864)=0," ",SUM(C2864:D2864))</f>
        <v xml:space="preserve"> </v>
      </c>
      <c r="F2864" s="14"/>
      <c r="G2864" s="120" t="e">
        <f>VLOOKUP($B2864,Information!$C$8:$F$15,4,FALSE)</f>
        <v>#N/A</v>
      </c>
      <c r="H2864" s="210" t="str">
        <f>TEXT(A2864,"ddd")</f>
        <v>Sat</v>
      </c>
    </row>
    <row r="2865" spans="1:8" x14ac:dyDescent="0.25">
      <c r="A2865" s="13"/>
      <c r="B2865" s="14"/>
      <c r="C2865" s="39"/>
      <c r="D2865" s="39"/>
      <c r="E2865" s="36" t="str">
        <f>IF(SUM(C2865:D2865)=0," ",SUM(C2865:D2865))</f>
        <v xml:space="preserve"> </v>
      </c>
      <c r="F2865" s="14"/>
      <c r="G2865" s="120" t="e">
        <f>VLOOKUP($B2865,Information!$C$8:$F$15,4,FALSE)</f>
        <v>#N/A</v>
      </c>
      <c r="H2865" s="210" t="str">
        <f>TEXT(A2865,"ddd")</f>
        <v>Sat</v>
      </c>
    </row>
    <row r="2866" spans="1:8" x14ac:dyDescent="0.25">
      <c r="A2866" s="13"/>
      <c r="B2866" s="14"/>
      <c r="C2866" s="39"/>
      <c r="D2866" s="39"/>
      <c r="E2866" s="36" t="str">
        <f>IF(SUM(C2866:D2866)=0," ",SUM(C2866:D2866))</f>
        <v xml:space="preserve"> </v>
      </c>
      <c r="F2866" s="14"/>
      <c r="G2866" s="120" t="e">
        <f>VLOOKUP($B2866,Information!$C$8:$F$15,4,FALSE)</f>
        <v>#N/A</v>
      </c>
      <c r="H2866" s="210" t="str">
        <f>TEXT(A2866,"ddd")</f>
        <v>Sat</v>
      </c>
    </row>
    <row r="2867" spans="1:8" x14ac:dyDescent="0.25">
      <c r="A2867" s="13"/>
      <c r="B2867" s="14"/>
      <c r="C2867" s="39"/>
      <c r="D2867" s="39"/>
      <c r="E2867" s="36" t="str">
        <f>IF(SUM(C2867:D2867)=0," ",SUM(C2867:D2867))</f>
        <v xml:space="preserve"> </v>
      </c>
      <c r="F2867" s="14"/>
      <c r="G2867" s="120" t="e">
        <f>VLOOKUP($B2867,Information!$C$8:$F$15,4,FALSE)</f>
        <v>#N/A</v>
      </c>
      <c r="H2867" s="210" t="str">
        <f>TEXT(A2867,"ddd")</f>
        <v>Sat</v>
      </c>
    </row>
    <row r="2868" spans="1:8" x14ac:dyDescent="0.25">
      <c r="A2868" s="13"/>
      <c r="B2868" s="14"/>
      <c r="C2868" s="39"/>
      <c r="D2868" s="39"/>
      <c r="E2868" s="36" t="str">
        <f>IF(SUM(C2868:D2868)=0," ",SUM(C2868:D2868))</f>
        <v xml:space="preserve"> </v>
      </c>
      <c r="F2868" s="14"/>
      <c r="G2868" s="120" t="e">
        <f>VLOOKUP($B2868,Information!$C$8:$F$15,4,FALSE)</f>
        <v>#N/A</v>
      </c>
      <c r="H2868" s="210" t="str">
        <f>TEXT(A2868,"ddd")</f>
        <v>Sat</v>
      </c>
    </row>
    <row r="2869" spans="1:8" x14ac:dyDescent="0.25">
      <c r="A2869" s="13"/>
      <c r="B2869" s="14"/>
      <c r="C2869" s="39"/>
      <c r="D2869" s="39"/>
      <c r="E2869" s="36" t="str">
        <f>IF(SUM(C2869:D2869)=0," ",SUM(C2869:D2869))</f>
        <v xml:space="preserve"> </v>
      </c>
      <c r="F2869" s="14"/>
      <c r="G2869" s="120" t="e">
        <f>VLOOKUP($B2869,Information!$C$8:$F$15,4,FALSE)</f>
        <v>#N/A</v>
      </c>
      <c r="H2869" s="210" t="str">
        <f>TEXT(A2869,"ddd")</f>
        <v>Sat</v>
      </c>
    </row>
    <row r="2870" spans="1:8" x14ac:dyDescent="0.25">
      <c r="A2870" s="13"/>
      <c r="B2870" s="14"/>
      <c r="C2870" s="39"/>
      <c r="D2870" s="39"/>
      <c r="E2870" s="36" t="str">
        <f>IF(SUM(C2870:D2870)=0," ",SUM(C2870:D2870))</f>
        <v xml:space="preserve"> </v>
      </c>
      <c r="F2870" s="14"/>
      <c r="G2870" s="120" t="e">
        <f>VLOOKUP($B2870,Information!$C$8:$F$15,4,FALSE)</f>
        <v>#N/A</v>
      </c>
      <c r="H2870" s="210" t="str">
        <f>TEXT(A2870,"ddd")</f>
        <v>Sat</v>
      </c>
    </row>
    <row r="2871" spans="1:8" x14ac:dyDescent="0.25">
      <c r="A2871" s="13"/>
      <c r="B2871" s="14"/>
      <c r="C2871" s="39"/>
      <c r="D2871" s="39"/>
      <c r="E2871" s="36" t="str">
        <f>IF(SUM(C2871:D2871)=0," ",SUM(C2871:D2871))</f>
        <v xml:space="preserve"> </v>
      </c>
      <c r="F2871" s="14"/>
      <c r="G2871" s="120" t="e">
        <f>VLOOKUP($B2871,Information!$C$8:$F$15,4,FALSE)</f>
        <v>#N/A</v>
      </c>
      <c r="H2871" s="210" t="str">
        <f>TEXT(A2871,"ddd")</f>
        <v>Sat</v>
      </c>
    </row>
    <row r="2872" spans="1:8" x14ac:dyDescent="0.25">
      <c r="A2872" s="13"/>
      <c r="B2872" s="14"/>
      <c r="C2872" s="39"/>
      <c r="D2872" s="39"/>
      <c r="E2872" s="36" t="str">
        <f>IF(SUM(C2872:D2872)=0," ",SUM(C2872:D2872))</f>
        <v xml:space="preserve"> </v>
      </c>
      <c r="F2872" s="14"/>
      <c r="G2872" s="120" t="e">
        <f>VLOOKUP($B2872,Information!$C$8:$F$15,4,FALSE)</f>
        <v>#N/A</v>
      </c>
      <c r="H2872" s="210" t="str">
        <f>TEXT(A2872,"ddd")</f>
        <v>Sat</v>
      </c>
    </row>
    <row r="2873" spans="1:8" x14ac:dyDescent="0.25">
      <c r="A2873" s="13"/>
      <c r="B2873" s="14"/>
      <c r="C2873" s="39"/>
      <c r="D2873" s="39"/>
      <c r="E2873" s="36" t="str">
        <f>IF(SUM(C2873:D2873)=0," ",SUM(C2873:D2873))</f>
        <v xml:space="preserve"> </v>
      </c>
      <c r="F2873" s="14"/>
      <c r="G2873" s="120" t="e">
        <f>VLOOKUP($B2873,Information!$C$8:$F$15,4,FALSE)</f>
        <v>#N/A</v>
      </c>
      <c r="H2873" s="210" t="str">
        <f>TEXT(A2873,"ddd")</f>
        <v>Sat</v>
      </c>
    </row>
    <row r="2874" spans="1:8" x14ac:dyDescent="0.25">
      <c r="A2874" s="13"/>
      <c r="B2874" s="14"/>
      <c r="C2874" s="39"/>
      <c r="D2874" s="39"/>
      <c r="E2874" s="36" t="str">
        <f>IF(SUM(C2874:D2874)=0," ",SUM(C2874:D2874))</f>
        <v xml:space="preserve"> </v>
      </c>
      <c r="F2874" s="14"/>
      <c r="G2874" s="120" t="e">
        <f>VLOOKUP($B2874,Information!$C$8:$F$15,4,FALSE)</f>
        <v>#N/A</v>
      </c>
      <c r="H2874" s="210" t="str">
        <f>TEXT(A2874,"ddd")</f>
        <v>Sat</v>
      </c>
    </row>
    <row r="2875" spans="1:8" x14ac:dyDescent="0.25">
      <c r="A2875" s="13"/>
      <c r="B2875" s="14"/>
      <c r="C2875" s="39"/>
      <c r="D2875" s="39"/>
      <c r="E2875" s="36" t="str">
        <f>IF(SUM(C2875:D2875)=0," ",SUM(C2875:D2875))</f>
        <v xml:space="preserve"> </v>
      </c>
      <c r="F2875" s="14"/>
      <c r="G2875" s="120" t="e">
        <f>VLOOKUP($B2875,Information!$C$8:$F$15,4,FALSE)</f>
        <v>#N/A</v>
      </c>
      <c r="H2875" s="210" t="str">
        <f>TEXT(A2875,"ddd")</f>
        <v>Sat</v>
      </c>
    </row>
    <row r="2876" spans="1:8" x14ac:dyDescent="0.25">
      <c r="A2876" s="13"/>
      <c r="B2876" s="14"/>
      <c r="C2876" s="39"/>
      <c r="D2876" s="39"/>
      <c r="E2876" s="36" t="str">
        <f>IF(SUM(C2876:D2876)=0," ",SUM(C2876:D2876))</f>
        <v xml:space="preserve"> </v>
      </c>
      <c r="F2876" s="14"/>
      <c r="G2876" s="120" t="e">
        <f>VLOOKUP($B2876,Information!$C$8:$F$15,4,FALSE)</f>
        <v>#N/A</v>
      </c>
      <c r="H2876" s="210" t="str">
        <f>TEXT(A2876,"ddd")</f>
        <v>Sat</v>
      </c>
    </row>
    <row r="2877" spans="1:8" x14ac:dyDescent="0.25">
      <c r="A2877" s="13"/>
      <c r="B2877" s="14"/>
      <c r="C2877" s="39"/>
      <c r="D2877" s="39"/>
      <c r="E2877" s="36" t="str">
        <f>IF(SUM(C2877:D2877)=0," ",SUM(C2877:D2877))</f>
        <v xml:space="preserve"> </v>
      </c>
      <c r="F2877" s="14"/>
      <c r="G2877" s="120" t="e">
        <f>VLOOKUP($B2877,Information!$C$8:$F$15,4,FALSE)</f>
        <v>#N/A</v>
      </c>
      <c r="H2877" s="210" t="str">
        <f>TEXT(A2877,"ddd")</f>
        <v>Sat</v>
      </c>
    </row>
    <row r="2878" spans="1:8" x14ac:dyDescent="0.25">
      <c r="A2878" s="13"/>
      <c r="B2878" s="14"/>
      <c r="C2878" s="39"/>
      <c r="D2878" s="39"/>
      <c r="E2878" s="36" t="str">
        <f>IF(SUM(C2878:D2878)=0," ",SUM(C2878:D2878))</f>
        <v xml:space="preserve"> </v>
      </c>
      <c r="F2878" s="14"/>
      <c r="G2878" s="120" t="e">
        <f>VLOOKUP($B2878,Information!$C$8:$F$15,4,FALSE)</f>
        <v>#N/A</v>
      </c>
      <c r="H2878" s="210" t="str">
        <f>TEXT(A2878,"ddd")</f>
        <v>Sat</v>
      </c>
    </row>
    <row r="2879" spans="1:8" x14ac:dyDescent="0.25">
      <c r="A2879" s="13"/>
      <c r="B2879" s="14"/>
      <c r="C2879" s="39"/>
      <c r="D2879" s="39"/>
      <c r="E2879" s="36" t="str">
        <f>IF(SUM(C2879:D2879)=0," ",SUM(C2879:D2879))</f>
        <v xml:space="preserve"> </v>
      </c>
      <c r="F2879" s="14"/>
      <c r="G2879" s="120" t="e">
        <f>VLOOKUP($B2879,Information!$C$8:$F$15,4,FALSE)</f>
        <v>#N/A</v>
      </c>
      <c r="H2879" s="210" t="str">
        <f>TEXT(A2879,"ddd")</f>
        <v>Sat</v>
      </c>
    </row>
    <row r="2880" spans="1:8" x14ac:dyDescent="0.25">
      <c r="A2880" s="13"/>
      <c r="B2880" s="14"/>
      <c r="C2880" s="39"/>
      <c r="D2880" s="39"/>
      <c r="E2880" s="36" t="str">
        <f>IF(SUM(C2880:D2880)=0," ",SUM(C2880:D2880))</f>
        <v xml:space="preserve"> </v>
      </c>
      <c r="F2880" s="14"/>
      <c r="G2880" s="120" t="e">
        <f>VLOOKUP($B2880,Information!$C$8:$F$15,4,FALSE)</f>
        <v>#N/A</v>
      </c>
      <c r="H2880" s="210" t="str">
        <f>TEXT(A2880,"ddd")</f>
        <v>Sat</v>
      </c>
    </row>
    <row r="2881" spans="1:8" x14ac:dyDescent="0.25">
      <c r="A2881" s="13"/>
      <c r="B2881" s="14"/>
      <c r="C2881" s="39"/>
      <c r="D2881" s="39"/>
      <c r="E2881" s="36" t="str">
        <f>IF(SUM(C2881:D2881)=0," ",SUM(C2881:D2881))</f>
        <v xml:space="preserve"> </v>
      </c>
      <c r="F2881" s="14"/>
      <c r="G2881" s="120" t="e">
        <f>VLOOKUP($B2881,Information!$C$8:$F$15,4,FALSE)</f>
        <v>#N/A</v>
      </c>
      <c r="H2881" s="210" t="str">
        <f>TEXT(A2881,"ddd")</f>
        <v>Sat</v>
      </c>
    </row>
    <row r="2882" spans="1:8" x14ac:dyDescent="0.25">
      <c r="A2882" s="13"/>
      <c r="B2882" s="14"/>
      <c r="C2882" s="39"/>
      <c r="D2882" s="39"/>
      <c r="E2882" s="36" t="str">
        <f>IF(SUM(C2882:D2882)=0," ",SUM(C2882:D2882))</f>
        <v xml:space="preserve"> </v>
      </c>
      <c r="F2882" s="14"/>
      <c r="G2882" s="120" t="e">
        <f>VLOOKUP($B2882,Information!$C$8:$F$15,4,FALSE)</f>
        <v>#N/A</v>
      </c>
      <c r="H2882" s="210" t="str">
        <f>TEXT(A2882,"ddd")</f>
        <v>Sat</v>
      </c>
    </row>
    <row r="2883" spans="1:8" x14ac:dyDescent="0.25">
      <c r="A2883" s="13"/>
      <c r="B2883" s="14"/>
      <c r="C2883" s="39"/>
      <c r="D2883" s="39"/>
      <c r="E2883" s="36" t="str">
        <f>IF(SUM(C2883:D2883)=0," ",SUM(C2883:D2883))</f>
        <v xml:space="preserve"> </v>
      </c>
      <c r="F2883" s="14"/>
      <c r="G2883" s="120" t="e">
        <f>VLOOKUP($B2883,Information!$C$8:$F$15,4,FALSE)</f>
        <v>#N/A</v>
      </c>
      <c r="H2883" s="210" t="str">
        <f>TEXT(A2883,"ddd")</f>
        <v>Sat</v>
      </c>
    </row>
    <row r="2884" spans="1:8" x14ac:dyDescent="0.25">
      <c r="A2884" s="13"/>
      <c r="B2884" s="14"/>
      <c r="C2884" s="39"/>
      <c r="D2884" s="39"/>
      <c r="E2884" s="36" t="str">
        <f>IF(SUM(C2884:D2884)=0," ",SUM(C2884:D2884))</f>
        <v xml:space="preserve"> </v>
      </c>
      <c r="F2884" s="14"/>
      <c r="G2884" s="120" t="e">
        <f>VLOOKUP($B2884,Information!$C$8:$F$15,4,FALSE)</f>
        <v>#N/A</v>
      </c>
      <c r="H2884" s="210" t="str">
        <f>TEXT(A2884,"ddd")</f>
        <v>Sat</v>
      </c>
    </row>
    <row r="2885" spans="1:8" x14ac:dyDescent="0.25">
      <c r="A2885" s="13"/>
      <c r="B2885" s="14"/>
      <c r="C2885" s="39"/>
      <c r="D2885" s="39"/>
      <c r="E2885" s="36" t="str">
        <f>IF(SUM(C2885:D2885)=0," ",SUM(C2885:D2885))</f>
        <v xml:space="preserve"> </v>
      </c>
      <c r="F2885" s="14"/>
      <c r="G2885" s="120" t="e">
        <f>VLOOKUP($B2885,Information!$C$8:$F$15,4,FALSE)</f>
        <v>#N/A</v>
      </c>
      <c r="H2885" s="210" t="str">
        <f>TEXT(A2885,"ddd")</f>
        <v>Sat</v>
      </c>
    </row>
    <row r="2886" spans="1:8" x14ac:dyDescent="0.25">
      <c r="A2886" s="13"/>
      <c r="B2886" s="14"/>
      <c r="C2886" s="39"/>
      <c r="D2886" s="39"/>
      <c r="E2886" s="36" t="str">
        <f>IF(SUM(C2886:D2886)=0," ",SUM(C2886:D2886))</f>
        <v xml:space="preserve"> </v>
      </c>
      <c r="F2886" s="14"/>
      <c r="G2886" s="120" t="e">
        <f>VLOOKUP($B2886,Information!$C$8:$F$15,4,FALSE)</f>
        <v>#N/A</v>
      </c>
      <c r="H2886" s="210" t="str">
        <f>TEXT(A2886,"ddd")</f>
        <v>Sat</v>
      </c>
    </row>
    <row r="2887" spans="1:8" x14ac:dyDescent="0.25">
      <c r="A2887" s="13"/>
      <c r="B2887" s="14"/>
      <c r="C2887" s="39"/>
      <c r="D2887" s="39"/>
      <c r="E2887" s="36" t="str">
        <f>IF(SUM(C2887:D2887)=0," ",SUM(C2887:D2887))</f>
        <v xml:space="preserve"> </v>
      </c>
      <c r="F2887" s="14"/>
      <c r="G2887" s="120" t="e">
        <f>VLOOKUP($B2887,Information!$C$8:$F$15,4,FALSE)</f>
        <v>#N/A</v>
      </c>
      <c r="H2887" s="210" t="str">
        <f>TEXT(A2887,"ddd")</f>
        <v>Sat</v>
      </c>
    </row>
    <row r="2888" spans="1:8" x14ac:dyDescent="0.25">
      <c r="A2888" s="13"/>
      <c r="B2888" s="14"/>
      <c r="C2888" s="39"/>
      <c r="D2888" s="39"/>
      <c r="E2888" s="36" t="str">
        <f>IF(SUM(C2888:D2888)=0," ",SUM(C2888:D2888))</f>
        <v xml:space="preserve"> </v>
      </c>
      <c r="F2888" s="14"/>
      <c r="G2888" s="120" t="e">
        <f>VLOOKUP($B2888,Information!$C$8:$F$15,4,FALSE)</f>
        <v>#N/A</v>
      </c>
      <c r="H2888" s="210" t="str">
        <f>TEXT(A2888,"ddd")</f>
        <v>Sat</v>
      </c>
    </row>
    <row r="2889" spans="1:8" x14ac:dyDescent="0.25">
      <c r="A2889" s="13"/>
      <c r="B2889" s="14"/>
      <c r="C2889" s="39"/>
      <c r="D2889" s="39"/>
      <c r="E2889" s="36" t="str">
        <f>IF(SUM(C2889:D2889)=0," ",SUM(C2889:D2889))</f>
        <v xml:space="preserve"> </v>
      </c>
      <c r="F2889" s="14"/>
      <c r="G2889" s="120" t="e">
        <f>VLOOKUP($B2889,Information!$C$8:$F$15,4,FALSE)</f>
        <v>#N/A</v>
      </c>
      <c r="H2889" s="210" t="str">
        <f>TEXT(A2889,"ddd")</f>
        <v>Sat</v>
      </c>
    </row>
    <row r="2890" spans="1:8" x14ac:dyDescent="0.25">
      <c r="A2890" s="13"/>
      <c r="B2890" s="14"/>
      <c r="C2890" s="39"/>
      <c r="D2890" s="39"/>
      <c r="E2890" s="36" t="str">
        <f>IF(SUM(C2890:D2890)=0," ",SUM(C2890:D2890))</f>
        <v xml:space="preserve"> </v>
      </c>
      <c r="F2890" s="14"/>
      <c r="G2890" s="120" t="e">
        <f>VLOOKUP($B2890,Information!$C$8:$F$15,4,FALSE)</f>
        <v>#N/A</v>
      </c>
      <c r="H2890" s="210" t="str">
        <f>TEXT(A2890,"ddd")</f>
        <v>Sat</v>
      </c>
    </row>
    <row r="2891" spans="1:8" x14ac:dyDescent="0.25">
      <c r="A2891" s="13"/>
      <c r="B2891" s="14"/>
      <c r="C2891" s="39"/>
      <c r="D2891" s="39"/>
      <c r="E2891" s="36" t="str">
        <f>IF(SUM(C2891:D2891)=0," ",SUM(C2891:D2891))</f>
        <v xml:space="preserve"> </v>
      </c>
      <c r="F2891" s="14"/>
      <c r="G2891" s="120" t="e">
        <f>VLOOKUP($B2891,Information!$C$8:$F$15,4,FALSE)</f>
        <v>#N/A</v>
      </c>
      <c r="H2891" s="210" t="str">
        <f>TEXT(A2891,"ddd")</f>
        <v>Sat</v>
      </c>
    </row>
    <row r="2892" spans="1:8" x14ac:dyDescent="0.25">
      <c r="A2892" s="13"/>
      <c r="B2892" s="14"/>
      <c r="C2892" s="39"/>
      <c r="D2892" s="39"/>
      <c r="E2892" s="36" t="str">
        <f>IF(SUM(C2892:D2892)=0," ",SUM(C2892:D2892))</f>
        <v xml:space="preserve"> </v>
      </c>
      <c r="F2892" s="14"/>
      <c r="G2892" s="120" t="e">
        <f>VLOOKUP($B2892,Information!$C$8:$F$15,4,FALSE)</f>
        <v>#N/A</v>
      </c>
      <c r="H2892" s="210" t="str">
        <f>TEXT(A2892,"ddd")</f>
        <v>Sat</v>
      </c>
    </row>
    <row r="2893" spans="1:8" x14ac:dyDescent="0.25">
      <c r="A2893" s="13"/>
      <c r="B2893" s="14"/>
      <c r="C2893" s="39"/>
      <c r="D2893" s="39"/>
      <c r="E2893" s="36" t="str">
        <f>IF(SUM(C2893:D2893)=0," ",SUM(C2893:D2893))</f>
        <v xml:space="preserve"> </v>
      </c>
      <c r="F2893" s="14"/>
      <c r="G2893" s="120" t="e">
        <f>VLOOKUP($B2893,Information!$C$8:$F$15,4,FALSE)</f>
        <v>#N/A</v>
      </c>
      <c r="H2893" s="210" t="str">
        <f>TEXT(A2893,"ddd")</f>
        <v>Sat</v>
      </c>
    </row>
    <row r="2894" spans="1:8" x14ac:dyDescent="0.25">
      <c r="A2894" s="13"/>
      <c r="B2894" s="14"/>
      <c r="C2894" s="39"/>
      <c r="D2894" s="39"/>
      <c r="E2894" s="36" t="str">
        <f>IF(SUM(C2894:D2894)=0," ",SUM(C2894:D2894))</f>
        <v xml:space="preserve"> </v>
      </c>
      <c r="F2894" s="14"/>
      <c r="G2894" s="120" t="e">
        <f>VLOOKUP($B2894,Information!$C$8:$F$15,4,FALSE)</f>
        <v>#N/A</v>
      </c>
      <c r="H2894" s="210" t="str">
        <f>TEXT(A2894,"ddd")</f>
        <v>Sat</v>
      </c>
    </row>
    <row r="2895" spans="1:8" x14ac:dyDescent="0.25">
      <c r="A2895" s="13"/>
      <c r="B2895" s="14"/>
      <c r="C2895" s="39"/>
      <c r="D2895" s="39"/>
      <c r="E2895" s="36" t="str">
        <f>IF(SUM(C2895:D2895)=0," ",SUM(C2895:D2895))</f>
        <v xml:space="preserve"> </v>
      </c>
      <c r="F2895" s="14"/>
      <c r="G2895" s="120" t="e">
        <f>VLOOKUP($B2895,Information!$C$8:$F$15,4,FALSE)</f>
        <v>#N/A</v>
      </c>
      <c r="H2895" s="210" t="str">
        <f>TEXT(A2895,"ddd")</f>
        <v>Sat</v>
      </c>
    </row>
    <row r="2896" spans="1:8" x14ac:dyDescent="0.25">
      <c r="A2896" s="13"/>
      <c r="B2896" s="14"/>
      <c r="C2896" s="39"/>
      <c r="D2896" s="39"/>
      <c r="E2896" s="36" t="str">
        <f>IF(SUM(C2896:D2896)=0," ",SUM(C2896:D2896))</f>
        <v xml:space="preserve"> </v>
      </c>
      <c r="F2896" s="14"/>
      <c r="G2896" s="120" t="e">
        <f>VLOOKUP($B2896,Information!$C$8:$F$15,4,FALSE)</f>
        <v>#N/A</v>
      </c>
      <c r="H2896" s="210" t="str">
        <f>TEXT(A2896,"ddd")</f>
        <v>Sat</v>
      </c>
    </row>
    <row r="2897" spans="1:8" x14ac:dyDescent="0.25">
      <c r="A2897" s="13"/>
      <c r="B2897" s="14"/>
      <c r="C2897" s="39"/>
      <c r="D2897" s="39"/>
      <c r="E2897" s="36" t="str">
        <f>IF(SUM(C2897:D2897)=0," ",SUM(C2897:D2897))</f>
        <v xml:space="preserve"> </v>
      </c>
      <c r="F2897" s="14"/>
      <c r="G2897" s="120" t="e">
        <f>VLOOKUP($B2897,Information!$C$8:$F$15,4,FALSE)</f>
        <v>#N/A</v>
      </c>
      <c r="H2897" s="210" t="str">
        <f>TEXT(A2897,"ddd")</f>
        <v>Sat</v>
      </c>
    </row>
    <row r="2898" spans="1:8" x14ac:dyDescent="0.25">
      <c r="A2898" s="13"/>
      <c r="B2898" s="14"/>
      <c r="C2898" s="39"/>
      <c r="D2898" s="39"/>
      <c r="E2898" s="36" t="str">
        <f>IF(SUM(C2898:D2898)=0," ",SUM(C2898:D2898))</f>
        <v xml:space="preserve"> </v>
      </c>
      <c r="F2898" s="14"/>
      <c r="G2898" s="120" t="e">
        <f>VLOOKUP($B2898,Information!$C$8:$F$15,4,FALSE)</f>
        <v>#N/A</v>
      </c>
      <c r="H2898" s="210" t="str">
        <f>TEXT(A2898,"ddd")</f>
        <v>Sat</v>
      </c>
    </row>
    <row r="2899" spans="1:8" x14ac:dyDescent="0.25">
      <c r="A2899" s="13"/>
      <c r="B2899" s="14"/>
      <c r="C2899" s="39"/>
      <c r="D2899" s="39"/>
      <c r="E2899" s="36" t="str">
        <f>IF(SUM(C2899:D2899)=0," ",SUM(C2899:D2899))</f>
        <v xml:space="preserve"> </v>
      </c>
      <c r="F2899" s="14"/>
      <c r="G2899" s="120" t="e">
        <f>VLOOKUP($B2899,Information!$C$8:$F$15,4,FALSE)</f>
        <v>#N/A</v>
      </c>
      <c r="H2899" s="210" t="str">
        <f>TEXT(A2899,"ddd")</f>
        <v>Sat</v>
      </c>
    </row>
    <row r="2900" spans="1:8" x14ac:dyDescent="0.25">
      <c r="A2900" s="13"/>
      <c r="B2900" s="14"/>
      <c r="C2900" s="39"/>
      <c r="D2900" s="39"/>
      <c r="E2900" s="36" t="str">
        <f>IF(SUM(C2900:D2900)=0," ",SUM(C2900:D2900))</f>
        <v xml:space="preserve"> </v>
      </c>
      <c r="F2900" s="14"/>
      <c r="G2900" s="120" t="e">
        <f>VLOOKUP($B2900,Information!$C$8:$F$15,4,FALSE)</f>
        <v>#N/A</v>
      </c>
      <c r="H2900" s="210" t="str">
        <f>TEXT(A2900,"ddd")</f>
        <v>Sat</v>
      </c>
    </row>
    <row r="2901" spans="1:8" x14ac:dyDescent="0.25">
      <c r="A2901" s="13"/>
      <c r="B2901" s="14"/>
      <c r="C2901" s="39"/>
      <c r="D2901" s="39"/>
      <c r="E2901" s="36" t="str">
        <f>IF(SUM(C2901:D2901)=0," ",SUM(C2901:D2901))</f>
        <v xml:space="preserve"> </v>
      </c>
      <c r="F2901" s="14"/>
      <c r="G2901" s="120" t="e">
        <f>VLOOKUP($B2901,Information!$C$8:$F$15,4,FALSE)</f>
        <v>#N/A</v>
      </c>
      <c r="H2901" s="210" t="str">
        <f>TEXT(A2901,"ddd")</f>
        <v>Sat</v>
      </c>
    </row>
    <row r="2902" spans="1:8" x14ac:dyDescent="0.25">
      <c r="A2902" s="13"/>
      <c r="B2902" s="14"/>
      <c r="C2902" s="39"/>
      <c r="D2902" s="39"/>
      <c r="E2902" s="36" t="str">
        <f>IF(SUM(C2902:D2902)=0," ",SUM(C2902:D2902))</f>
        <v xml:space="preserve"> </v>
      </c>
      <c r="F2902" s="14"/>
      <c r="G2902" s="120" t="e">
        <f>VLOOKUP($B2902,Information!$C$8:$F$15,4,FALSE)</f>
        <v>#N/A</v>
      </c>
      <c r="H2902" s="210" t="str">
        <f>TEXT(A2902,"ddd")</f>
        <v>Sat</v>
      </c>
    </row>
    <row r="2903" spans="1:8" x14ac:dyDescent="0.25">
      <c r="A2903" s="13"/>
      <c r="B2903" s="14"/>
      <c r="C2903" s="39"/>
      <c r="D2903" s="39"/>
      <c r="E2903" s="36" t="str">
        <f>IF(SUM(C2903:D2903)=0," ",SUM(C2903:D2903))</f>
        <v xml:space="preserve"> </v>
      </c>
      <c r="F2903" s="14"/>
      <c r="G2903" s="120" t="e">
        <f>VLOOKUP($B2903,Information!$C$8:$F$15,4,FALSE)</f>
        <v>#N/A</v>
      </c>
      <c r="H2903" s="210" t="str">
        <f>TEXT(A2903,"ddd")</f>
        <v>Sat</v>
      </c>
    </row>
    <row r="2904" spans="1:8" x14ac:dyDescent="0.25">
      <c r="A2904" s="13"/>
      <c r="B2904" s="14"/>
      <c r="C2904" s="39"/>
      <c r="D2904" s="39"/>
      <c r="E2904" s="36" t="str">
        <f>IF(SUM(C2904:D2904)=0," ",SUM(C2904:D2904))</f>
        <v xml:space="preserve"> </v>
      </c>
      <c r="F2904" s="14"/>
      <c r="G2904" s="120" t="e">
        <f>VLOOKUP($B2904,Information!$C$8:$F$15,4,FALSE)</f>
        <v>#N/A</v>
      </c>
      <c r="H2904" s="210" t="str">
        <f>TEXT(A2904,"ddd")</f>
        <v>Sat</v>
      </c>
    </row>
    <row r="2905" spans="1:8" x14ac:dyDescent="0.25">
      <c r="A2905" s="13"/>
      <c r="B2905" s="14"/>
      <c r="C2905" s="39"/>
      <c r="D2905" s="39"/>
      <c r="E2905" s="36" t="str">
        <f>IF(SUM(C2905:D2905)=0," ",SUM(C2905:D2905))</f>
        <v xml:space="preserve"> </v>
      </c>
      <c r="F2905" s="14"/>
      <c r="G2905" s="120" t="e">
        <f>VLOOKUP($B2905,Information!$C$8:$F$15,4,FALSE)</f>
        <v>#N/A</v>
      </c>
      <c r="H2905" s="210" t="str">
        <f>TEXT(A2905,"ddd")</f>
        <v>Sat</v>
      </c>
    </row>
    <row r="2906" spans="1:8" x14ac:dyDescent="0.25">
      <c r="A2906" s="13"/>
      <c r="B2906" s="14"/>
      <c r="C2906" s="39"/>
      <c r="D2906" s="39"/>
      <c r="E2906" s="36" t="str">
        <f>IF(SUM(C2906:D2906)=0," ",SUM(C2906:D2906))</f>
        <v xml:space="preserve"> </v>
      </c>
      <c r="F2906" s="14"/>
      <c r="G2906" s="120" t="e">
        <f>VLOOKUP($B2906,Information!$C$8:$F$15,4,FALSE)</f>
        <v>#N/A</v>
      </c>
      <c r="H2906" s="210" t="str">
        <f>TEXT(A2906,"ddd")</f>
        <v>Sat</v>
      </c>
    </row>
    <row r="2907" spans="1:8" x14ac:dyDescent="0.25">
      <c r="A2907" s="13"/>
      <c r="B2907" s="14"/>
      <c r="C2907" s="39"/>
      <c r="D2907" s="39"/>
      <c r="E2907" s="36" t="str">
        <f>IF(SUM(C2907:D2907)=0," ",SUM(C2907:D2907))</f>
        <v xml:space="preserve"> </v>
      </c>
      <c r="F2907" s="14"/>
      <c r="G2907" s="120" t="e">
        <f>VLOOKUP($B2907,Information!$C$8:$F$15,4,FALSE)</f>
        <v>#N/A</v>
      </c>
      <c r="H2907" s="210" t="str">
        <f>TEXT(A2907,"ddd")</f>
        <v>Sat</v>
      </c>
    </row>
    <row r="2908" spans="1:8" x14ac:dyDescent="0.25">
      <c r="A2908" s="13"/>
      <c r="B2908" s="14"/>
      <c r="C2908" s="39"/>
      <c r="D2908" s="39"/>
      <c r="E2908" s="36" t="str">
        <f>IF(SUM(C2908:D2908)=0," ",SUM(C2908:D2908))</f>
        <v xml:space="preserve"> </v>
      </c>
      <c r="F2908" s="14"/>
      <c r="G2908" s="120" t="e">
        <f>VLOOKUP($B2908,Information!$C$8:$F$15,4,FALSE)</f>
        <v>#N/A</v>
      </c>
      <c r="H2908" s="210" t="str">
        <f>TEXT(A2908,"ddd")</f>
        <v>Sat</v>
      </c>
    </row>
    <row r="2909" spans="1:8" x14ac:dyDescent="0.25">
      <c r="A2909" s="13"/>
      <c r="B2909" s="14"/>
      <c r="C2909" s="39"/>
      <c r="D2909" s="39"/>
      <c r="E2909" s="36" t="str">
        <f>IF(SUM(C2909:D2909)=0," ",SUM(C2909:D2909))</f>
        <v xml:space="preserve"> </v>
      </c>
      <c r="F2909" s="14"/>
      <c r="G2909" s="120" t="e">
        <f>VLOOKUP($B2909,Information!$C$8:$F$15,4,FALSE)</f>
        <v>#N/A</v>
      </c>
      <c r="H2909" s="210" t="str">
        <f>TEXT(A2909,"ddd")</f>
        <v>Sat</v>
      </c>
    </row>
    <row r="2910" spans="1:8" x14ac:dyDescent="0.25">
      <c r="A2910" s="13"/>
      <c r="B2910" s="14"/>
      <c r="C2910" s="39"/>
      <c r="D2910" s="39"/>
      <c r="E2910" s="36" t="str">
        <f>IF(SUM(C2910:D2910)=0," ",SUM(C2910:D2910))</f>
        <v xml:space="preserve"> </v>
      </c>
      <c r="F2910" s="14"/>
      <c r="G2910" s="120" t="e">
        <f>VLOOKUP($B2910,Information!$C$8:$F$15,4,FALSE)</f>
        <v>#N/A</v>
      </c>
      <c r="H2910" s="210" t="str">
        <f>TEXT(A2910,"ddd")</f>
        <v>Sat</v>
      </c>
    </row>
    <row r="2911" spans="1:8" x14ac:dyDescent="0.25">
      <c r="A2911" s="13"/>
      <c r="B2911" s="14"/>
      <c r="C2911" s="39"/>
      <c r="D2911" s="39"/>
      <c r="E2911" s="36" t="str">
        <f>IF(SUM(C2911:D2911)=0," ",SUM(C2911:D2911))</f>
        <v xml:space="preserve"> </v>
      </c>
      <c r="F2911" s="14"/>
      <c r="G2911" s="120" t="e">
        <f>VLOOKUP($B2911,Information!$C$8:$F$15,4,FALSE)</f>
        <v>#N/A</v>
      </c>
      <c r="H2911" s="210" t="str">
        <f>TEXT(A2911,"ddd")</f>
        <v>Sat</v>
      </c>
    </row>
    <row r="2912" spans="1:8" x14ac:dyDescent="0.25">
      <c r="A2912" s="13"/>
      <c r="B2912" s="14"/>
      <c r="C2912" s="39"/>
      <c r="D2912" s="39"/>
      <c r="E2912" s="36" t="str">
        <f>IF(SUM(C2912:D2912)=0," ",SUM(C2912:D2912))</f>
        <v xml:space="preserve"> </v>
      </c>
      <c r="F2912" s="14"/>
      <c r="G2912" s="120" t="e">
        <f>VLOOKUP($B2912,Information!$C$8:$F$15,4,FALSE)</f>
        <v>#N/A</v>
      </c>
      <c r="H2912" s="210" t="str">
        <f>TEXT(A2912,"ddd")</f>
        <v>Sat</v>
      </c>
    </row>
    <row r="2913" spans="1:8" x14ac:dyDescent="0.25">
      <c r="A2913" s="13"/>
      <c r="B2913" s="14"/>
      <c r="C2913" s="39"/>
      <c r="D2913" s="39"/>
      <c r="E2913" s="36" t="str">
        <f>IF(SUM(C2913:D2913)=0," ",SUM(C2913:D2913))</f>
        <v xml:space="preserve"> </v>
      </c>
      <c r="F2913" s="14"/>
      <c r="G2913" s="120" t="e">
        <f>VLOOKUP($B2913,Information!$C$8:$F$15,4,FALSE)</f>
        <v>#N/A</v>
      </c>
      <c r="H2913" s="210" t="str">
        <f>TEXT(A2913,"ddd")</f>
        <v>Sat</v>
      </c>
    </row>
    <row r="2914" spans="1:8" x14ac:dyDescent="0.25">
      <c r="A2914" s="13"/>
      <c r="B2914" s="14"/>
      <c r="C2914" s="39"/>
      <c r="D2914" s="39"/>
      <c r="E2914" s="36" t="str">
        <f>IF(SUM(C2914:D2914)=0," ",SUM(C2914:D2914))</f>
        <v xml:space="preserve"> </v>
      </c>
      <c r="F2914" s="14"/>
      <c r="G2914" s="120" t="e">
        <f>VLOOKUP($B2914,Information!$C$8:$F$15,4,FALSE)</f>
        <v>#N/A</v>
      </c>
      <c r="H2914" s="210" t="str">
        <f>TEXT(A2914,"ddd")</f>
        <v>Sat</v>
      </c>
    </row>
    <row r="2915" spans="1:8" x14ac:dyDescent="0.25">
      <c r="A2915" s="13"/>
      <c r="B2915" s="14"/>
      <c r="C2915" s="39"/>
      <c r="D2915" s="39"/>
      <c r="E2915" s="36" t="str">
        <f>IF(SUM(C2915:D2915)=0," ",SUM(C2915:D2915))</f>
        <v xml:space="preserve"> </v>
      </c>
      <c r="F2915" s="14"/>
      <c r="G2915" s="120" t="e">
        <f>VLOOKUP($B2915,Information!$C$8:$F$15,4,FALSE)</f>
        <v>#N/A</v>
      </c>
      <c r="H2915" s="210" t="str">
        <f>TEXT(A2915,"ddd")</f>
        <v>Sat</v>
      </c>
    </row>
    <row r="2916" spans="1:8" x14ac:dyDescent="0.25">
      <c r="A2916" s="13"/>
      <c r="B2916" s="14"/>
      <c r="C2916" s="39"/>
      <c r="D2916" s="39"/>
      <c r="E2916" s="36" t="str">
        <f>IF(SUM(C2916:D2916)=0," ",SUM(C2916:D2916))</f>
        <v xml:space="preserve"> </v>
      </c>
      <c r="F2916" s="14"/>
      <c r="G2916" s="120" t="e">
        <f>VLOOKUP($B2916,Information!$C$8:$F$15,4,FALSE)</f>
        <v>#N/A</v>
      </c>
      <c r="H2916" s="210" t="str">
        <f>TEXT(A2916,"ddd")</f>
        <v>Sat</v>
      </c>
    </row>
    <row r="2917" spans="1:8" x14ac:dyDescent="0.25">
      <c r="A2917" s="13"/>
      <c r="B2917" s="14"/>
      <c r="C2917" s="39"/>
      <c r="D2917" s="39"/>
      <c r="E2917" s="36" t="str">
        <f>IF(SUM(C2917:D2917)=0," ",SUM(C2917:D2917))</f>
        <v xml:space="preserve"> </v>
      </c>
      <c r="F2917" s="14"/>
      <c r="G2917" s="120" t="e">
        <f>VLOOKUP($B2917,Information!$C$8:$F$15,4,FALSE)</f>
        <v>#N/A</v>
      </c>
      <c r="H2917" s="210" t="str">
        <f>TEXT(A2917,"ddd")</f>
        <v>Sat</v>
      </c>
    </row>
    <row r="2918" spans="1:8" x14ac:dyDescent="0.25">
      <c r="A2918" s="13"/>
      <c r="B2918" s="14"/>
      <c r="C2918" s="39"/>
      <c r="D2918" s="39"/>
      <c r="E2918" s="36" t="str">
        <f>IF(SUM(C2918:D2918)=0," ",SUM(C2918:D2918))</f>
        <v xml:space="preserve"> </v>
      </c>
      <c r="F2918" s="14"/>
      <c r="G2918" s="120" t="e">
        <f>VLOOKUP($B2918,Information!$C$8:$F$15,4,FALSE)</f>
        <v>#N/A</v>
      </c>
      <c r="H2918" s="210" t="str">
        <f>TEXT(A2918,"ddd")</f>
        <v>Sat</v>
      </c>
    </row>
    <row r="2919" spans="1:8" x14ac:dyDescent="0.25">
      <c r="A2919" s="13"/>
      <c r="B2919" s="14"/>
      <c r="C2919" s="39"/>
      <c r="D2919" s="39"/>
      <c r="E2919" s="36" t="str">
        <f>IF(SUM(C2919:D2919)=0," ",SUM(C2919:D2919))</f>
        <v xml:space="preserve"> </v>
      </c>
      <c r="F2919" s="14"/>
      <c r="G2919" s="120" t="e">
        <f>VLOOKUP($B2919,Information!$C$8:$F$15,4,FALSE)</f>
        <v>#N/A</v>
      </c>
      <c r="H2919" s="210" t="str">
        <f>TEXT(A2919,"ddd")</f>
        <v>Sat</v>
      </c>
    </row>
    <row r="2920" spans="1:8" x14ac:dyDescent="0.25">
      <c r="A2920" s="13"/>
      <c r="B2920" s="14"/>
      <c r="C2920" s="39"/>
      <c r="D2920" s="39"/>
      <c r="E2920" s="36" t="str">
        <f>IF(SUM(C2920:D2920)=0," ",SUM(C2920:D2920))</f>
        <v xml:space="preserve"> </v>
      </c>
      <c r="F2920" s="14"/>
      <c r="G2920" s="120" t="e">
        <f>VLOOKUP($B2920,Information!$C$8:$F$15,4,FALSE)</f>
        <v>#N/A</v>
      </c>
      <c r="H2920" s="210" t="str">
        <f>TEXT(A2920,"ddd")</f>
        <v>Sat</v>
      </c>
    </row>
    <row r="2921" spans="1:8" x14ac:dyDescent="0.25">
      <c r="A2921" s="13"/>
      <c r="B2921" s="14"/>
      <c r="C2921" s="39"/>
      <c r="D2921" s="39"/>
      <c r="E2921" s="36" t="str">
        <f>IF(SUM(C2921:D2921)=0," ",SUM(C2921:D2921))</f>
        <v xml:space="preserve"> </v>
      </c>
      <c r="F2921" s="14"/>
      <c r="G2921" s="120" t="e">
        <f>VLOOKUP($B2921,Information!$C$8:$F$15,4,FALSE)</f>
        <v>#N/A</v>
      </c>
      <c r="H2921" s="210" t="str">
        <f>TEXT(A2921,"ddd")</f>
        <v>Sat</v>
      </c>
    </row>
    <row r="2922" spans="1:8" x14ac:dyDescent="0.25">
      <c r="A2922" s="13"/>
      <c r="B2922" s="14"/>
      <c r="C2922" s="39"/>
      <c r="D2922" s="39"/>
      <c r="E2922" s="36" t="str">
        <f>IF(SUM(C2922:D2922)=0," ",SUM(C2922:D2922))</f>
        <v xml:space="preserve"> </v>
      </c>
      <c r="F2922" s="14"/>
      <c r="G2922" s="120" t="e">
        <f>VLOOKUP($B2922,Information!$C$8:$F$15,4,FALSE)</f>
        <v>#N/A</v>
      </c>
      <c r="H2922" s="210" t="str">
        <f>TEXT(A2922,"ddd")</f>
        <v>Sat</v>
      </c>
    </row>
    <row r="2923" spans="1:8" x14ac:dyDescent="0.25">
      <c r="A2923" s="13"/>
      <c r="B2923" s="14"/>
      <c r="C2923" s="39"/>
      <c r="D2923" s="39"/>
      <c r="E2923" s="36" t="str">
        <f>IF(SUM(C2923:D2923)=0," ",SUM(C2923:D2923))</f>
        <v xml:space="preserve"> </v>
      </c>
      <c r="F2923" s="14"/>
      <c r="G2923" s="120" t="e">
        <f>VLOOKUP($B2923,Information!$C$8:$F$15,4,FALSE)</f>
        <v>#N/A</v>
      </c>
      <c r="H2923" s="210" t="str">
        <f>TEXT(A2923,"ddd")</f>
        <v>Sat</v>
      </c>
    </row>
    <row r="2924" spans="1:8" x14ac:dyDescent="0.25">
      <c r="A2924" s="13"/>
      <c r="B2924" s="14"/>
      <c r="C2924" s="39"/>
      <c r="D2924" s="39"/>
      <c r="E2924" s="36" t="str">
        <f>IF(SUM(C2924:D2924)=0," ",SUM(C2924:D2924))</f>
        <v xml:space="preserve"> </v>
      </c>
      <c r="F2924" s="14"/>
      <c r="G2924" s="120" t="e">
        <f>VLOOKUP($B2924,Information!$C$8:$F$15,4,FALSE)</f>
        <v>#N/A</v>
      </c>
      <c r="H2924" s="210" t="str">
        <f>TEXT(A2924,"ddd")</f>
        <v>Sat</v>
      </c>
    </row>
    <row r="2925" spans="1:8" x14ac:dyDescent="0.25">
      <c r="A2925" s="13"/>
      <c r="B2925" s="14"/>
      <c r="C2925" s="39"/>
      <c r="D2925" s="39"/>
      <c r="E2925" s="36" t="str">
        <f>IF(SUM(C2925:D2925)=0," ",SUM(C2925:D2925))</f>
        <v xml:space="preserve"> </v>
      </c>
      <c r="F2925" s="14"/>
      <c r="G2925" s="120" t="e">
        <f>VLOOKUP($B2925,Information!$C$8:$F$15,4,FALSE)</f>
        <v>#N/A</v>
      </c>
      <c r="H2925" s="210" t="str">
        <f>TEXT(A2925,"ddd")</f>
        <v>Sat</v>
      </c>
    </row>
    <row r="2926" spans="1:8" x14ac:dyDescent="0.25">
      <c r="A2926" s="13"/>
      <c r="B2926" s="14"/>
      <c r="C2926" s="39"/>
      <c r="D2926" s="39"/>
      <c r="E2926" s="36" t="str">
        <f>IF(SUM(C2926:D2926)=0," ",SUM(C2926:D2926))</f>
        <v xml:space="preserve"> </v>
      </c>
      <c r="F2926" s="14"/>
      <c r="G2926" s="120" t="e">
        <f>VLOOKUP($B2926,Information!$C$8:$F$15,4,FALSE)</f>
        <v>#N/A</v>
      </c>
      <c r="H2926" s="210" t="str">
        <f>TEXT(A2926,"ddd")</f>
        <v>Sat</v>
      </c>
    </row>
    <row r="2927" spans="1:8" x14ac:dyDescent="0.25">
      <c r="A2927" s="13"/>
      <c r="B2927" s="14"/>
      <c r="C2927" s="39"/>
      <c r="D2927" s="39"/>
      <c r="E2927" s="36" t="str">
        <f>IF(SUM(C2927:D2927)=0," ",SUM(C2927:D2927))</f>
        <v xml:space="preserve"> </v>
      </c>
      <c r="F2927" s="14"/>
      <c r="G2927" s="120" t="e">
        <f>VLOOKUP($B2927,Information!$C$8:$F$15,4,FALSE)</f>
        <v>#N/A</v>
      </c>
      <c r="H2927" s="210" t="str">
        <f>TEXT(A2927,"ddd")</f>
        <v>Sat</v>
      </c>
    </row>
    <row r="2928" spans="1:8" x14ac:dyDescent="0.25">
      <c r="A2928" s="13"/>
      <c r="B2928" s="14"/>
      <c r="C2928" s="39"/>
      <c r="D2928" s="39"/>
      <c r="E2928" s="36" t="str">
        <f>IF(SUM(C2928:D2928)=0," ",SUM(C2928:D2928))</f>
        <v xml:space="preserve"> </v>
      </c>
      <c r="F2928" s="14"/>
      <c r="G2928" s="120" t="e">
        <f>VLOOKUP($B2928,Information!$C$8:$F$15,4,FALSE)</f>
        <v>#N/A</v>
      </c>
      <c r="H2928" s="210" t="str">
        <f>TEXT(A2928,"ddd")</f>
        <v>Sat</v>
      </c>
    </row>
    <row r="2929" spans="1:8" x14ac:dyDescent="0.25">
      <c r="A2929" s="13"/>
      <c r="B2929" s="14"/>
      <c r="C2929" s="39"/>
      <c r="D2929" s="39"/>
      <c r="E2929" s="36" t="str">
        <f>IF(SUM(C2929:D2929)=0," ",SUM(C2929:D2929))</f>
        <v xml:space="preserve"> </v>
      </c>
      <c r="F2929" s="14"/>
      <c r="G2929" s="120" t="e">
        <f>VLOOKUP($B2929,Information!$C$8:$F$15,4,FALSE)</f>
        <v>#N/A</v>
      </c>
      <c r="H2929" s="210" t="str">
        <f>TEXT(A2929,"ddd")</f>
        <v>Sat</v>
      </c>
    </row>
    <row r="2930" spans="1:8" x14ac:dyDescent="0.25">
      <c r="A2930" s="13"/>
      <c r="B2930" s="14"/>
      <c r="C2930" s="39"/>
      <c r="D2930" s="39"/>
      <c r="E2930" s="36" t="str">
        <f>IF(SUM(C2930:D2930)=0," ",SUM(C2930:D2930))</f>
        <v xml:space="preserve"> </v>
      </c>
      <c r="F2930" s="14"/>
      <c r="G2930" s="120" t="e">
        <f>VLOOKUP($B2930,Information!$C$8:$F$15,4,FALSE)</f>
        <v>#N/A</v>
      </c>
      <c r="H2930" s="210" t="str">
        <f>TEXT(A2930,"ddd")</f>
        <v>Sat</v>
      </c>
    </row>
    <row r="2931" spans="1:8" x14ac:dyDescent="0.25">
      <c r="A2931" s="13"/>
      <c r="B2931" s="14"/>
      <c r="C2931" s="39"/>
      <c r="D2931" s="39"/>
      <c r="E2931" s="36" t="str">
        <f>IF(SUM(C2931:D2931)=0," ",SUM(C2931:D2931))</f>
        <v xml:space="preserve"> </v>
      </c>
      <c r="F2931" s="14"/>
      <c r="G2931" s="120" t="e">
        <f>VLOOKUP($B2931,Information!$C$8:$F$15,4,FALSE)</f>
        <v>#N/A</v>
      </c>
      <c r="H2931" s="210" t="str">
        <f>TEXT(A2931,"ddd")</f>
        <v>Sat</v>
      </c>
    </row>
    <row r="2932" spans="1:8" x14ac:dyDescent="0.25">
      <c r="A2932" s="13"/>
      <c r="B2932" s="14"/>
      <c r="C2932" s="39"/>
      <c r="D2932" s="39"/>
      <c r="E2932" s="36" t="str">
        <f>IF(SUM(C2932:D2932)=0," ",SUM(C2932:D2932))</f>
        <v xml:space="preserve"> </v>
      </c>
      <c r="F2932" s="14"/>
      <c r="G2932" s="120" t="e">
        <f>VLOOKUP($B2932,Information!$C$8:$F$15,4,FALSE)</f>
        <v>#N/A</v>
      </c>
      <c r="H2932" s="210" t="str">
        <f>TEXT(A2932,"ddd")</f>
        <v>Sat</v>
      </c>
    </row>
    <row r="2933" spans="1:8" x14ac:dyDescent="0.25">
      <c r="A2933" s="13"/>
      <c r="B2933" s="14"/>
      <c r="C2933" s="39"/>
      <c r="D2933" s="39"/>
      <c r="E2933" s="36" t="str">
        <f>IF(SUM(C2933:D2933)=0," ",SUM(C2933:D2933))</f>
        <v xml:space="preserve"> </v>
      </c>
      <c r="F2933" s="14"/>
      <c r="G2933" s="120" t="e">
        <f>VLOOKUP($B2933,Information!$C$8:$F$15,4,FALSE)</f>
        <v>#N/A</v>
      </c>
      <c r="H2933" s="210" t="str">
        <f>TEXT(A2933,"ddd")</f>
        <v>Sat</v>
      </c>
    </row>
    <row r="2934" spans="1:8" x14ac:dyDescent="0.25">
      <c r="A2934" s="13"/>
      <c r="B2934" s="14"/>
      <c r="C2934" s="39"/>
      <c r="D2934" s="39"/>
      <c r="E2934" s="36" t="str">
        <f>IF(SUM(C2934:D2934)=0," ",SUM(C2934:D2934))</f>
        <v xml:space="preserve"> </v>
      </c>
      <c r="F2934" s="14"/>
      <c r="G2934" s="120" t="e">
        <f>VLOOKUP($B2934,Information!$C$8:$F$15,4,FALSE)</f>
        <v>#N/A</v>
      </c>
      <c r="H2934" s="210" t="str">
        <f>TEXT(A2934,"ddd")</f>
        <v>Sat</v>
      </c>
    </row>
    <row r="2935" spans="1:8" x14ac:dyDescent="0.25">
      <c r="A2935" s="13"/>
      <c r="B2935" s="14"/>
      <c r="C2935" s="39"/>
      <c r="D2935" s="39"/>
      <c r="E2935" s="36" t="str">
        <f>IF(SUM(C2935:D2935)=0," ",SUM(C2935:D2935))</f>
        <v xml:space="preserve"> </v>
      </c>
      <c r="F2935" s="14"/>
      <c r="G2935" s="120" t="e">
        <f>VLOOKUP($B2935,Information!$C$8:$F$15,4,FALSE)</f>
        <v>#N/A</v>
      </c>
      <c r="H2935" s="210" t="str">
        <f>TEXT(A2935,"ddd")</f>
        <v>Sat</v>
      </c>
    </row>
    <row r="2936" spans="1:8" x14ac:dyDescent="0.25">
      <c r="A2936" s="13"/>
      <c r="B2936" s="14"/>
      <c r="C2936" s="39"/>
      <c r="D2936" s="39"/>
      <c r="E2936" s="36" t="str">
        <f>IF(SUM(C2936:D2936)=0," ",SUM(C2936:D2936))</f>
        <v xml:space="preserve"> </v>
      </c>
      <c r="F2936" s="14"/>
      <c r="G2936" s="120" t="e">
        <f>VLOOKUP($B2936,Information!$C$8:$F$15,4,FALSE)</f>
        <v>#N/A</v>
      </c>
      <c r="H2936" s="210" t="str">
        <f>TEXT(A2936,"ddd")</f>
        <v>Sat</v>
      </c>
    </row>
    <row r="2937" spans="1:8" x14ac:dyDescent="0.25">
      <c r="A2937" s="13"/>
      <c r="B2937" s="14"/>
      <c r="C2937" s="39"/>
      <c r="D2937" s="39"/>
      <c r="E2937" s="36" t="str">
        <f>IF(SUM(C2937:D2937)=0," ",SUM(C2937:D2937))</f>
        <v xml:space="preserve"> </v>
      </c>
      <c r="F2937" s="14"/>
      <c r="G2937" s="120" t="e">
        <f>VLOOKUP($B2937,Information!$C$8:$F$15,4,FALSE)</f>
        <v>#N/A</v>
      </c>
      <c r="H2937" s="210" t="str">
        <f>TEXT(A2937,"ddd")</f>
        <v>Sat</v>
      </c>
    </row>
    <row r="2938" spans="1:8" x14ac:dyDescent="0.25">
      <c r="A2938" s="13"/>
      <c r="B2938" s="14"/>
      <c r="C2938" s="39"/>
      <c r="D2938" s="39"/>
      <c r="E2938" s="36" t="str">
        <f>IF(SUM(C2938:D2938)=0," ",SUM(C2938:D2938))</f>
        <v xml:space="preserve"> </v>
      </c>
      <c r="F2938" s="14"/>
      <c r="G2938" s="120" t="e">
        <f>VLOOKUP($B2938,Information!$C$8:$F$15,4,FALSE)</f>
        <v>#N/A</v>
      </c>
      <c r="H2938" s="210" t="str">
        <f>TEXT(A2938,"ddd")</f>
        <v>Sat</v>
      </c>
    </row>
    <row r="2939" spans="1:8" x14ac:dyDescent="0.25">
      <c r="A2939" s="13"/>
      <c r="B2939" s="14"/>
      <c r="C2939" s="39"/>
      <c r="D2939" s="39"/>
      <c r="E2939" s="36" t="str">
        <f>IF(SUM(C2939:D2939)=0," ",SUM(C2939:D2939))</f>
        <v xml:space="preserve"> </v>
      </c>
      <c r="F2939" s="14"/>
      <c r="G2939" s="120" t="e">
        <f>VLOOKUP($B2939,Information!$C$8:$F$15,4,FALSE)</f>
        <v>#N/A</v>
      </c>
      <c r="H2939" s="210" t="str">
        <f>TEXT(A2939,"ddd")</f>
        <v>Sat</v>
      </c>
    </row>
    <row r="2940" spans="1:8" x14ac:dyDescent="0.25">
      <c r="A2940" s="13"/>
      <c r="B2940" s="14"/>
      <c r="C2940" s="39"/>
      <c r="D2940" s="39"/>
      <c r="E2940" s="36" t="str">
        <f>IF(SUM(C2940:D2940)=0," ",SUM(C2940:D2940))</f>
        <v xml:space="preserve"> </v>
      </c>
      <c r="F2940" s="14"/>
      <c r="G2940" s="120" t="e">
        <f>VLOOKUP($B2940,Information!$C$8:$F$15,4,FALSE)</f>
        <v>#N/A</v>
      </c>
      <c r="H2940" s="210" t="str">
        <f>TEXT(A2940,"ddd")</f>
        <v>Sat</v>
      </c>
    </row>
    <row r="2941" spans="1:8" x14ac:dyDescent="0.25">
      <c r="A2941" s="13"/>
      <c r="B2941" s="14"/>
      <c r="C2941" s="39"/>
      <c r="D2941" s="39"/>
      <c r="E2941" s="36" t="str">
        <f>IF(SUM(C2941:D2941)=0," ",SUM(C2941:D2941))</f>
        <v xml:space="preserve"> </v>
      </c>
      <c r="F2941" s="14"/>
      <c r="G2941" s="120" t="e">
        <f>VLOOKUP($B2941,Information!$C$8:$F$15,4,FALSE)</f>
        <v>#N/A</v>
      </c>
      <c r="H2941" s="210" t="str">
        <f>TEXT(A2941,"ddd")</f>
        <v>Sat</v>
      </c>
    </row>
    <row r="2942" spans="1:8" x14ac:dyDescent="0.25">
      <c r="A2942" s="13"/>
      <c r="B2942" s="14"/>
      <c r="C2942" s="39"/>
      <c r="D2942" s="39"/>
      <c r="E2942" s="36" t="str">
        <f>IF(SUM(C2942:D2942)=0," ",SUM(C2942:D2942))</f>
        <v xml:space="preserve"> </v>
      </c>
      <c r="F2942" s="14"/>
      <c r="G2942" s="120" t="e">
        <f>VLOOKUP($B2942,Information!$C$8:$F$15,4,FALSE)</f>
        <v>#N/A</v>
      </c>
      <c r="H2942" s="210" t="str">
        <f>TEXT(A2942,"ddd")</f>
        <v>Sat</v>
      </c>
    </row>
    <row r="2943" spans="1:8" x14ac:dyDescent="0.25">
      <c r="A2943" s="13"/>
      <c r="B2943" s="14"/>
      <c r="C2943" s="39"/>
      <c r="D2943" s="39"/>
      <c r="E2943" s="36" t="str">
        <f>IF(SUM(C2943:D2943)=0," ",SUM(C2943:D2943))</f>
        <v xml:space="preserve"> </v>
      </c>
      <c r="F2943" s="14"/>
      <c r="G2943" s="120" t="e">
        <f>VLOOKUP($B2943,Information!$C$8:$F$15,4,FALSE)</f>
        <v>#N/A</v>
      </c>
      <c r="H2943" s="210" t="str">
        <f>TEXT(A2943,"ddd")</f>
        <v>Sat</v>
      </c>
    </row>
    <row r="2944" spans="1:8" x14ac:dyDescent="0.25">
      <c r="A2944" s="13"/>
      <c r="B2944" s="14"/>
      <c r="C2944" s="39"/>
      <c r="D2944" s="39"/>
      <c r="E2944" s="36" t="str">
        <f>IF(SUM(C2944:D2944)=0," ",SUM(C2944:D2944))</f>
        <v xml:space="preserve"> </v>
      </c>
      <c r="F2944" s="14"/>
      <c r="G2944" s="120" t="e">
        <f>VLOOKUP($B2944,Information!$C$8:$F$15,4,FALSE)</f>
        <v>#N/A</v>
      </c>
      <c r="H2944" s="210" t="str">
        <f>TEXT(A2944,"ddd")</f>
        <v>Sat</v>
      </c>
    </row>
    <row r="2945" spans="1:8" x14ac:dyDescent="0.25">
      <c r="A2945" s="13"/>
      <c r="B2945" s="14"/>
      <c r="C2945" s="39"/>
      <c r="D2945" s="39"/>
      <c r="E2945" s="36" t="str">
        <f>IF(SUM(C2945:D2945)=0," ",SUM(C2945:D2945))</f>
        <v xml:space="preserve"> </v>
      </c>
      <c r="F2945" s="14"/>
      <c r="G2945" s="120" t="e">
        <f>VLOOKUP($B2945,Information!$C$8:$F$15,4,FALSE)</f>
        <v>#N/A</v>
      </c>
      <c r="H2945" s="210" t="str">
        <f>TEXT(A2945,"ddd")</f>
        <v>Sat</v>
      </c>
    </row>
    <row r="2946" spans="1:8" x14ac:dyDescent="0.25">
      <c r="A2946" s="13"/>
      <c r="B2946" s="14"/>
      <c r="C2946" s="39"/>
      <c r="D2946" s="39"/>
      <c r="E2946" s="36" t="str">
        <f>IF(SUM(C2946:D2946)=0," ",SUM(C2946:D2946))</f>
        <v xml:space="preserve"> </v>
      </c>
      <c r="F2946" s="14"/>
      <c r="G2946" s="120" t="e">
        <f>VLOOKUP($B2946,Information!$C$8:$F$15,4,FALSE)</f>
        <v>#N/A</v>
      </c>
      <c r="H2946" s="210" t="str">
        <f>TEXT(A2946,"ddd")</f>
        <v>Sat</v>
      </c>
    </row>
    <row r="2947" spans="1:8" x14ac:dyDescent="0.25">
      <c r="A2947" s="13"/>
      <c r="B2947" s="14"/>
      <c r="C2947" s="39"/>
      <c r="D2947" s="39"/>
      <c r="E2947" s="36" t="str">
        <f>IF(SUM(C2947:D2947)=0," ",SUM(C2947:D2947))</f>
        <v xml:space="preserve"> </v>
      </c>
      <c r="F2947" s="14"/>
      <c r="G2947" s="120" t="e">
        <f>VLOOKUP($B2947,Information!$C$8:$F$15,4,FALSE)</f>
        <v>#N/A</v>
      </c>
      <c r="H2947" s="210" t="str">
        <f>TEXT(A2947,"ddd")</f>
        <v>Sat</v>
      </c>
    </row>
    <row r="2948" spans="1:8" x14ac:dyDescent="0.25">
      <c r="A2948" s="13"/>
      <c r="B2948" s="14"/>
      <c r="C2948" s="39"/>
      <c r="D2948" s="39"/>
      <c r="E2948" s="36" t="str">
        <f>IF(SUM(C2948:D2948)=0," ",SUM(C2948:D2948))</f>
        <v xml:space="preserve"> </v>
      </c>
      <c r="F2948" s="14"/>
      <c r="G2948" s="120" t="e">
        <f>VLOOKUP($B2948,Information!$C$8:$F$15,4,FALSE)</f>
        <v>#N/A</v>
      </c>
      <c r="H2948" s="210" t="str">
        <f>TEXT(A2948,"ddd")</f>
        <v>Sat</v>
      </c>
    </row>
    <row r="2949" spans="1:8" x14ac:dyDescent="0.25">
      <c r="A2949" s="13"/>
      <c r="B2949" s="14"/>
      <c r="C2949" s="39"/>
      <c r="D2949" s="39"/>
      <c r="E2949" s="36" t="str">
        <f>IF(SUM(C2949:D2949)=0," ",SUM(C2949:D2949))</f>
        <v xml:space="preserve"> </v>
      </c>
      <c r="F2949" s="14"/>
      <c r="G2949" s="120" t="e">
        <f>VLOOKUP($B2949,Information!$C$8:$F$15,4,FALSE)</f>
        <v>#N/A</v>
      </c>
      <c r="H2949" s="210" t="str">
        <f>TEXT(A2949,"ddd")</f>
        <v>Sat</v>
      </c>
    </row>
    <row r="2950" spans="1:8" x14ac:dyDescent="0.25">
      <c r="A2950" s="13"/>
      <c r="B2950" s="14"/>
      <c r="C2950" s="39"/>
      <c r="D2950" s="39"/>
      <c r="E2950" s="36" t="str">
        <f>IF(SUM(C2950:D2950)=0," ",SUM(C2950:D2950))</f>
        <v xml:space="preserve"> </v>
      </c>
      <c r="F2950" s="14"/>
      <c r="G2950" s="120" t="e">
        <f>VLOOKUP($B2950,Information!$C$8:$F$15,4,FALSE)</f>
        <v>#N/A</v>
      </c>
      <c r="H2950" s="210" t="str">
        <f>TEXT(A2950,"ddd")</f>
        <v>Sat</v>
      </c>
    </row>
    <row r="2951" spans="1:8" x14ac:dyDescent="0.25">
      <c r="A2951" s="13"/>
      <c r="B2951" s="14"/>
      <c r="C2951" s="39"/>
      <c r="D2951" s="39"/>
      <c r="E2951" s="36" t="str">
        <f>IF(SUM(C2951:D2951)=0," ",SUM(C2951:D2951))</f>
        <v xml:space="preserve"> </v>
      </c>
      <c r="F2951" s="14"/>
      <c r="G2951" s="120" t="e">
        <f>VLOOKUP($B2951,Information!$C$8:$F$15,4,FALSE)</f>
        <v>#N/A</v>
      </c>
      <c r="H2951" s="210" t="str">
        <f>TEXT(A2951,"ddd")</f>
        <v>Sat</v>
      </c>
    </row>
    <row r="2952" spans="1:8" x14ac:dyDescent="0.25">
      <c r="A2952" s="13"/>
      <c r="B2952" s="14"/>
      <c r="C2952" s="39"/>
      <c r="D2952" s="39"/>
      <c r="E2952" s="36" t="str">
        <f>IF(SUM(C2952:D2952)=0," ",SUM(C2952:D2952))</f>
        <v xml:space="preserve"> </v>
      </c>
      <c r="F2952" s="14"/>
      <c r="G2952" s="120" t="e">
        <f>VLOOKUP($B2952,Information!$C$8:$F$15,4,FALSE)</f>
        <v>#N/A</v>
      </c>
      <c r="H2952" s="210" t="str">
        <f>TEXT(A2952,"ddd")</f>
        <v>Sat</v>
      </c>
    </row>
    <row r="2953" spans="1:8" x14ac:dyDescent="0.25">
      <c r="A2953" s="13"/>
      <c r="B2953" s="14"/>
      <c r="C2953" s="39"/>
      <c r="D2953" s="39"/>
      <c r="E2953" s="36" t="str">
        <f>IF(SUM(C2953:D2953)=0," ",SUM(C2953:D2953))</f>
        <v xml:space="preserve"> </v>
      </c>
      <c r="F2953" s="14"/>
      <c r="G2953" s="120" t="e">
        <f>VLOOKUP($B2953,Information!$C$8:$F$15,4,FALSE)</f>
        <v>#N/A</v>
      </c>
      <c r="H2953" s="210" t="str">
        <f>TEXT(A2953,"ddd")</f>
        <v>Sat</v>
      </c>
    </row>
    <row r="2954" spans="1:8" x14ac:dyDescent="0.25">
      <c r="A2954" s="13"/>
      <c r="B2954" s="14"/>
      <c r="C2954" s="39"/>
      <c r="D2954" s="39"/>
      <c r="E2954" s="36" t="str">
        <f>IF(SUM(C2954:D2954)=0," ",SUM(C2954:D2954))</f>
        <v xml:space="preserve"> </v>
      </c>
      <c r="F2954" s="14"/>
      <c r="G2954" s="120" t="e">
        <f>VLOOKUP($B2954,Information!$C$8:$F$15,4,FALSE)</f>
        <v>#N/A</v>
      </c>
      <c r="H2954" s="210" t="str">
        <f>TEXT(A2954,"ddd")</f>
        <v>Sat</v>
      </c>
    </row>
    <row r="2955" spans="1:8" x14ac:dyDescent="0.25">
      <c r="A2955" s="13"/>
      <c r="B2955" s="14"/>
      <c r="C2955" s="39"/>
      <c r="D2955" s="39"/>
      <c r="E2955" s="36" t="str">
        <f>IF(SUM(C2955:D2955)=0," ",SUM(C2955:D2955))</f>
        <v xml:space="preserve"> </v>
      </c>
      <c r="F2955" s="14"/>
      <c r="G2955" s="120" t="e">
        <f>VLOOKUP($B2955,Information!$C$8:$F$15,4,FALSE)</f>
        <v>#N/A</v>
      </c>
      <c r="H2955" s="210" t="str">
        <f>TEXT(A2955,"ddd")</f>
        <v>Sat</v>
      </c>
    </row>
    <row r="2956" spans="1:8" x14ac:dyDescent="0.25">
      <c r="A2956" s="13"/>
      <c r="B2956" s="14"/>
      <c r="C2956" s="39"/>
      <c r="D2956" s="39"/>
      <c r="E2956" s="36" t="str">
        <f>IF(SUM(C2956:D2956)=0," ",SUM(C2956:D2956))</f>
        <v xml:space="preserve"> </v>
      </c>
      <c r="F2956" s="14"/>
      <c r="G2956" s="120" t="e">
        <f>VLOOKUP($B2956,Information!$C$8:$F$15,4,FALSE)</f>
        <v>#N/A</v>
      </c>
      <c r="H2956" s="210" t="str">
        <f>TEXT(A2956,"ddd")</f>
        <v>Sat</v>
      </c>
    </row>
    <row r="2957" spans="1:8" x14ac:dyDescent="0.25">
      <c r="A2957" s="13"/>
      <c r="B2957" s="14"/>
      <c r="C2957" s="39"/>
      <c r="D2957" s="39"/>
      <c r="E2957" s="36" t="str">
        <f>IF(SUM(C2957:D2957)=0," ",SUM(C2957:D2957))</f>
        <v xml:space="preserve"> </v>
      </c>
      <c r="F2957" s="14"/>
      <c r="G2957" s="120" t="e">
        <f>VLOOKUP($B2957,Information!$C$8:$F$15,4,FALSE)</f>
        <v>#N/A</v>
      </c>
      <c r="H2957" s="210" t="str">
        <f>TEXT(A2957,"ddd")</f>
        <v>Sat</v>
      </c>
    </row>
    <row r="2958" spans="1:8" x14ac:dyDescent="0.25">
      <c r="A2958" s="13"/>
      <c r="B2958" s="14"/>
      <c r="C2958" s="39"/>
      <c r="D2958" s="39"/>
      <c r="E2958" s="36" t="str">
        <f>IF(SUM(C2958:D2958)=0," ",SUM(C2958:D2958))</f>
        <v xml:space="preserve"> </v>
      </c>
      <c r="F2958" s="14"/>
      <c r="G2958" s="120" t="e">
        <f>VLOOKUP($B2958,Information!$C$8:$F$15,4,FALSE)</f>
        <v>#N/A</v>
      </c>
      <c r="H2958" s="210" t="str">
        <f>TEXT(A2958,"ddd")</f>
        <v>Sat</v>
      </c>
    </row>
    <row r="2959" spans="1:8" x14ac:dyDescent="0.25">
      <c r="A2959" s="13"/>
      <c r="B2959" s="14"/>
      <c r="C2959" s="39"/>
      <c r="D2959" s="39"/>
      <c r="E2959" s="36" t="str">
        <f>IF(SUM(C2959:D2959)=0," ",SUM(C2959:D2959))</f>
        <v xml:space="preserve"> </v>
      </c>
      <c r="F2959" s="14"/>
      <c r="G2959" s="120" t="e">
        <f>VLOOKUP($B2959,Information!$C$8:$F$15,4,FALSE)</f>
        <v>#N/A</v>
      </c>
      <c r="H2959" s="210" t="str">
        <f>TEXT(A2959,"ddd")</f>
        <v>Sat</v>
      </c>
    </row>
    <row r="2960" spans="1:8" x14ac:dyDescent="0.25">
      <c r="A2960" s="13"/>
      <c r="B2960" s="14"/>
      <c r="C2960" s="39"/>
      <c r="D2960" s="39"/>
      <c r="E2960" s="36" t="str">
        <f>IF(SUM(C2960:D2960)=0," ",SUM(C2960:D2960))</f>
        <v xml:space="preserve"> </v>
      </c>
      <c r="F2960" s="14"/>
      <c r="G2960" s="120" t="e">
        <f>VLOOKUP($B2960,Information!$C$8:$F$15,4,FALSE)</f>
        <v>#N/A</v>
      </c>
      <c r="H2960" s="210" t="str">
        <f>TEXT(A2960,"ddd")</f>
        <v>Sat</v>
      </c>
    </row>
    <row r="2961" spans="1:8" x14ac:dyDescent="0.25">
      <c r="A2961" s="13"/>
      <c r="B2961" s="14"/>
      <c r="C2961" s="39"/>
      <c r="D2961" s="39"/>
      <c r="E2961" s="36" t="str">
        <f>IF(SUM(C2961:D2961)=0," ",SUM(C2961:D2961))</f>
        <v xml:space="preserve"> </v>
      </c>
      <c r="F2961" s="14"/>
      <c r="G2961" s="120" t="e">
        <f>VLOOKUP($B2961,Information!$C$8:$F$15,4,FALSE)</f>
        <v>#N/A</v>
      </c>
      <c r="H2961" s="210" t="str">
        <f>TEXT(A2961,"ddd")</f>
        <v>Sat</v>
      </c>
    </row>
    <row r="2962" spans="1:8" x14ac:dyDescent="0.25">
      <c r="A2962" s="13"/>
      <c r="B2962" s="14"/>
      <c r="C2962" s="39"/>
      <c r="D2962" s="39"/>
      <c r="E2962" s="36" t="str">
        <f>IF(SUM(C2962:D2962)=0," ",SUM(C2962:D2962))</f>
        <v xml:space="preserve"> </v>
      </c>
      <c r="F2962" s="14"/>
      <c r="G2962" s="120" t="e">
        <f>VLOOKUP($B2962,Information!$C$8:$F$15,4,FALSE)</f>
        <v>#N/A</v>
      </c>
      <c r="H2962" s="210" t="str">
        <f>TEXT(A2962,"ddd")</f>
        <v>Sat</v>
      </c>
    </row>
    <row r="2963" spans="1:8" x14ac:dyDescent="0.25">
      <c r="A2963" s="13"/>
      <c r="B2963" s="14"/>
      <c r="C2963" s="39"/>
      <c r="D2963" s="39"/>
      <c r="E2963" s="36" t="str">
        <f>IF(SUM(C2963:D2963)=0," ",SUM(C2963:D2963))</f>
        <v xml:space="preserve"> </v>
      </c>
      <c r="F2963" s="14"/>
      <c r="G2963" s="120" t="e">
        <f>VLOOKUP($B2963,Information!$C$8:$F$15,4,FALSE)</f>
        <v>#N/A</v>
      </c>
      <c r="H2963" s="210" t="str">
        <f>TEXT(A2963,"ddd")</f>
        <v>Sat</v>
      </c>
    </row>
    <row r="2964" spans="1:8" x14ac:dyDescent="0.25">
      <c r="A2964" s="13"/>
      <c r="B2964" s="14"/>
      <c r="C2964" s="39"/>
      <c r="D2964" s="39"/>
      <c r="E2964" s="36" t="str">
        <f>IF(SUM(C2964:D2964)=0," ",SUM(C2964:D2964))</f>
        <v xml:space="preserve"> </v>
      </c>
      <c r="F2964" s="14"/>
      <c r="G2964" s="120" t="e">
        <f>VLOOKUP($B2964,Information!$C$8:$F$15,4,FALSE)</f>
        <v>#N/A</v>
      </c>
      <c r="H2964" s="210" t="str">
        <f>TEXT(A2964,"ddd")</f>
        <v>Sat</v>
      </c>
    </row>
    <row r="2965" spans="1:8" x14ac:dyDescent="0.25">
      <c r="A2965" s="13"/>
      <c r="B2965" s="14"/>
      <c r="C2965" s="39"/>
      <c r="D2965" s="39"/>
      <c r="E2965" s="36" t="str">
        <f>IF(SUM(C2965:D2965)=0," ",SUM(C2965:D2965))</f>
        <v xml:space="preserve"> </v>
      </c>
      <c r="F2965" s="14"/>
      <c r="G2965" s="120" t="e">
        <f>VLOOKUP($B2965,Information!$C$8:$F$15,4,FALSE)</f>
        <v>#N/A</v>
      </c>
      <c r="H2965" s="210" t="str">
        <f>TEXT(A2965,"ddd")</f>
        <v>Sat</v>
      </c>
    </row>
    <row r="2966" spans="1:8" x14ac:dyDescent="0.25">
      <c r="A2966" s="13"/>
      <c r="B2966" s="14"/>
      <c r="C2966" s="39"/>
      <c r="D2966" s="39"/>
      <c r="E2966" s="36" t="str">
        <f>IF(SUM(C2966:D2966)=0," ",SUM(C2966:D2966))</f>
        <v xml:space="preserve"> </v>
      </c>
      <c r="F2966" s="14"/>
      <c r="G2966" s="120" t="e">
        <f>VLOOKUP($B2966,Information!$C$8:$F$15,4,FALSE)</f>
        <v>#N/A</v>
      </c>
      <c r="H2966" s="210" t="str">
        <f>TEXT(A2966,"ddd")</f>
        <v>Sat</v>
      </c>
    </row>
    <row r="2967" spans="1:8" x14ac:dyDescent="0.25">
      <c r="A2967" s="13"/>
      <c r="B2967" s="14"/>
      <c r="C2967" s="39"/>
      <c r="D2967" s="39"/>
      <c r="E2967" s="36" t="str">
        <f>IF(SUM(C2967:D2967)=0," ",SUM(C2967:D2967))</f>
        <v xml:space="preserve"> </v>
      </c>
      <c r="F2967" s="14"/>
      <c r="G2967" s="120" t="e">
        <f>VLOOKUP($B2967,Information!$C$8:$F$15,4,FALSE)</f>
        <v>#N/A</v>
      </c>
      <c r="H2967" s="210" t="str">
        <f>TEXT(A2967,"ddd")</f>
        <v>Sat</v>
      </c>
    </row>
    <row r="2968" spans="1:8" x14ac:dyDescent="0.25">
      <c r="A2968" s="13"/>
      <c r="B2968" s="14"/>
      <c r="C2968" s="39"/>
      <c r="D2968" s="39"/>
      <c r="E2968" s="36" t="str">
        <f>IF(SUM(C2968:D2968)=0," ",SUM(C2968:D2968))</f>
        <v xml:space="preserve"> </v>
      </c>
      <c r="F2968" s="14"/>
      <c r="G2968" s="120" t="e">
        <f>VLOOKUP($B2968,Information!$C$8:$F$15,4,FALSE)</f>
        <v>#N/A</v>
      </c>
      <c r="H2968" s="210" t="str">
        <f>TEXT(A2968,"ddd")</f>
        <v>Sat</v>
      </c>
    </row>
    <row r="2969" spans="1:8" x14ac:dyDescent="0.25">
      <c r="A2969" s="13"/>
      <c r="B2969" s="14"/>
      <c r="C2969" s="39"/>
      <c r="D2969" s="39"/>
      <c r="E2969" s="36" t="str">
        <f>IF(SUM(C2969:D2969)=0," ",SUM(C2969:D2969))</f>
        <v xml:space="preserve"> </v>
      </c>
      <c r="F2969" s="14"/>
      <c r="G2969" s="120" t="e">
        <f>VLOOKUP($B2969,Information!$C$8:$F$15,4,FALSE)</f>
        <v>#N/A</v>
      </c>
      <c r="H2969" s="210" t="str">
        <f>TEXT(A2969,"ddd")</f>
        <v>Sat</v>
      </c>
    </row>
    <row r="2970" spans="1:8" x14ac:dyDescent="0.25">
      <c r="A2970" s="13"/>
      <c r="B2970" s="14"/>
      <c r="C2970" s="39"/>
      <c r="D2970" s="39"/>
      <c r="E2970" s="36" t="str">
        <f>IF(SUM(C2970:D2970)=0," ",SUM(C2970:D2970))</f>
        <v xml:space="preserve"> </v>
      </c>
      <c r="F2970" s="14"/>
      <c r="G2970" s="120" t="e">
        <f>VLOOKUP($B2970,Information!$C$8:$F$15,4,FALSE)</f>
        <v>#N/A</v>
      </c>
      <c r="H2970" s="210" t="str">
        <f>TEXT(A2970,"ddd")</f>
        <v>Sat</v>
      </c>
    </row>
    <row r="2971" spans="1:8" x14ac:dyDescent="0.25">
      <c r="A2971" s="13"/>
      <c r="B2971" s="14"/>
      <c r="C2971" s="39"/>
      <c r="D2971" s="39"/>
      <c r="E2971" s="36" t="str">
        <f>IF(SUM(C2971:D2971)=0," ",SUM(C2971:D2971))</f>
        <v xml:space="preserve"> </v>
      </c>
      <c r="F2971" s="14"/>
      <c r="G2971" s="120" t="e">
        <f>VLOOKUP($B2971,Information!$C$8:$F$15,4,FALSE)</f>
        <v>#N/A</v>
      </c>
      <c r="H2971" s="210" t="str">
        <f>TEXT(A2971,"ddd")</f>
        <v>Sat</v>
      </c>
    </row>
    <row r="2972" spans="1:8" x14ac:dyDescent="0.25">
      <c r="A2972" s="13"/>
      <c r="B2972" s="14"/>
      <c r="C2972" s="39"/>
      <c r="D2972" s="39"/>
      <c r="E2972" s="36" t="str">
        <f>IF(SUM(C2972:D2972)=0," ",SUM(C2972:D2972))</f>
        <v xml:space="preserve"> </v>
      </c>
      <c r="F2972" s="14"/>
      <c r="G2972" s="120" t="e">
        <f>VLOOKUP($B2972,Information!$C$8:$F$15,4,FALSE)</f>
        <v>#N/A</v>
      </c>
      <c r="H2972" s="210" t="str">
        <f>TEXT(A2972,"ddd")</f>
        <v>Sat</v>
      </c>
    </row>
    <row r="2973" spans="1:8" x14ac:dyDescent="0.25">
      <c r="A2973" s="13"/>
      <c r="B2973" s="14"/>
      <c r="C2973" s="39"/>
      <c r="D2973" s="39"/>
      <c r="E2973" s="36" t="str">
        <f>IF(SUM(C2973:D2973)=0," ",SUM(C2973:D2973))</f>
        <v xml:space="preserve"> </v>
      </c>
      <c r="F2973" s="14"/>
      <c r="G2973" s="120" t="e">
        <f>VLOOKUP($B2973,Information!$C$8:$F$15,4,FALSE)</f>
        <v>#N/A</v>
      </c>
      <c r="H2973" s="210" t="str">
        <f>TEXT(A2973,"ddd")</f>
        <v>Sat</v>
      </c>
    </row>
    <row r="2974" spans="1:8" x14ac:dyDescent="0.25">
      <c r="A2974" s="13"/>
      <c r="B2974" s="14"/>
      <c r="C2974" s="39"/>
      <c r="D2974" s="39"/>
      <c r="E2974" s="36" t="str">
        <f>IF(SUM(C2974:D2974)=0," ",SUM(C2974:D2974))</f>
        <v xml:space="preserve"> </v>
      </c>
      <c r="F2974" s="14"/>
      <c r="G2974" s="120" t="e">
        <f>VLOOKUP($B2974,Information!$C$8:$F$15,4,FALSE)</f>
        <v>#N/A</v>
      </c>
      <c r="H2974" s="210" t="str">
        <f>TEXT(A2974,"ddd")</f>
        <v>Sat</v>
      </c>
    </row>
    <row r="2975" spans="1:8" x14ac:dyDescent="0.25">
      <c r="A2975" s="13"/>
      <c r="B2975" s="14"/>
      <c r="C2975" s="39"/>
      <c r="D2975" s="39"/>
      <c r="E2975" s="36" t="str">
        <f>IF(SUM(C2975:D2975)=0," ",SUM(C2975:D2975))</f>
        <v xml:space="preserve"> </v>
      </c>
      <c r="F2975" s="14"/>
      <c r="G2975" s="120" t="e">
        <f>VLOOKUP($B2975,Information!$C$8:$F$15,4,FALSE)</f>
        <v>#N/A</v>
      </c>
      <c r="H2975" s="210" t="str">
        <f>TEXT(A2975,"ddd")</f>
        <v>Sat</v>
      </c>
    </row>
    <row r="2976" spans="1:8" x14ac:dyDescent="0.25">
      <c r="A2976" s="13"/>
      <c r="B2976" s="14"/>
      <c r="C2976" s="39"/>
      <c r="D2976" s="39"/>
      <c r="E2976" s="36" t="str">
        <f>IF(SUM(C2976:D2976)=0," ",SUM(C2976:D2976))</f>
        <v xml:space="preserve"> </v>
      </c>
      <c r="F2976" s="14"/>
      <c r="G2976" s="120" t="e">
        <f>VLOOKUP($B2976,Information!$C$8:$F$15,4,FALSE)</f>
        <v>#N/A</v>
      </c>
      <c r="H2976" s="210" t="str">
        <f>TEXT(A2976,"ddd")</f>
        <v>Sat</v>
      </c>
    </row>
    <row r="2977" spans="1:8" x14ac:dyDescent="0.25">
      <c r="A2977" s="13"/>
      <c r="B2977" s="14"/>
      <c r="C2977" s="39"/>
      <c r="D2977" s="39"/>
      <c r="E2977" s="36" t="str">
        <f>IF(SUM(C2977:D2977)=0," ",SUM(C2977:D2977))</f>
        <v xml:space="preserve"> </v>
      </c>
      <c r="F2977" s="14"/>
      <c r="G2977" s="120" t="e">
        <f>VLOOKUP($B2977,Information!$C$8:$F$15,4,FALSE)</f>
        <v>#N/A</v>
      </c>
      <c r="H2977" s="210" t="str">
        <f>TEXT(A2977,"ddd")</f>
        <v>Sat</v>
      </c>
    </row>
    <row r="2978" spans="1:8" x14ac:dyDescent="0.25">
      <c r="A2978" s="13"/>
      <c r="B2978" s="14"/>
      <c r="C2978" s="39"/>
      <c r="D2978" s="39"/>
      <c r="E2978" s="36" t="str">
        <f>IF(SUM(C2978:D2978)=0," ",SUM(C2978:D2978))</f>
        <v xml:space="preserve"> </v>
      </c>
      <c r="F2978" s="14"/>
      <c r="G2978" s="120" t="e">
        <f>VLOOKUP($B2978,Information!$C$8:$F$15,4,FALSE)</f>
        <v>#N/A</v>
      </c>
      <c r="H2978" s="210" t="str">
        <f>TEXT(A2978,"ddd")</f>
        <v>Sat</v>
      </c>
    </row>
    <row r="2979" spans="1:8" x14ac:dyDescent="0.25">
      <c r="A2979" s="13"/>
      <c r="B2979" s="14"/>
      <c r="C2979" s="39"/>
      <c r="D2979" s="39"/>
      <c r="E2979" s="36" t="str">
        <f>IF(SUM(C2979:D2979)=0," ",SUM(C2979:D2979))</f>
        <v xml:space="preserve"> </v>
      </c>
      <c r="F2979" s="14"/>
      <c r="G2979" s="120" t="e">
        <f>VLOOKUP($B2979,Information!$C$8:$F$15,4,FALSE)</f>
        <v>#N/A</v>
      </c>
      <c r="H2979" s="210" t="str">
        <f>TEXT(A2979,"ddd")</f>
        <v>Sat</v>
      </c>
    </row>
    <row r="2980" spans="1:8" x14ac:dyDescent="0.25">
      <c r="A2980" s="13"/>
      <c r="B2980" s="14"/>
      <c r="C2980" s="39"/>
      <c r="D2980" s="39"/>
      <c r="E2980" s="36" t="str">
        <f>IF(SUM(C2980:D2980)=0," ",SUM(C2980:D2980))</f>
        <v xml:space="preserve"> </v>
      </c>
      <c r="F2980" s="14"/>
      <c r="G2980" s="120" t="e">
        <f>VLOOKUP($B2980,Information!$C$8:$F$15,4,FALSE)</f>
        <v>#N/A</v>
      </c>
      <c r="H2980" s="210" t="str">
        <f>TEXT(A2980,"ddd")</f>
        <v>Sat</v>
      </c>
    </row>
    <row r="2981" spans="1:8" x14ac:dyDescent="0.25">
      <c r="A2981" s="13"/>
      <c r="B2981" s="14"/>
      <c r="C2981" s="39"/>
      <c r="D2981" s="39"/>
      <c r="E2981" s="36" t="str">
        <f>IF(SUM(C2981:D2981)=0," ",SUM(C2981:D2981))</f>
        <v xml:space="preserve"> </v>
      </c>
      <c r="F2981" s="14"/>
      <c r="G2981" s="120" t="e">
        <f>VLOOKUP($B2981,Information!$C$8:$F$15,4,FALSE)</f>
        <v>#N/A</v>
      </c>
      <c r="H2981" s="210" t="str">
        <f>TEXT(A2981,"ddd")</f>
        <v>Sat</v>
      </c>
    </row>
    <row r="2982" spans="1:8" x14ac:dyDescent="0.25">
      <c r="A2982" s="13"/>
      <c r="B2982" s="14"/>
      <c r="C2982" s="39"/>
      <c r="D2982" s="39"/>
      <c r="E2982" s="36" t="str">
        <f>IF(SUM(C2982:D2982)=0," ",SUM(C2982:D2982))</f>
        <v xml:space="preserve"> </v>
      </c>
      <c r="F2982" s="14"/>
      <c r="G2982" s="120" t="e">
        <f>VLOOKUP($B2982,Information!$C$8:$F$15,4,FALSE)</f>
        <v>#N/A</v>
      </c>
      <c r="H2982" s="210" t="str">
        <f>TEXT(A2982,"ddd")</f>
        <v>Sat</v>
      </c>
    </row>
    <row r="2983" spans="1:8" x14ac:dyDescent="0.25">
      <c r="A2983" s="13"/>
      <c r="B2983" s="14"/>
      <c r="C2983" s="39"/>
      <c r="D2983" s="39"/>
      <c r="E2983" s="36" t="str">
        <f>IF(SUM(C2983:D2983)=0," ",SUM(C2983:D2983))</f>
        <v xml:space="preserve"> </v>
      </c>
      <c r="F2983" s="14"/>
      <c r="G2983" s="120" t="e">
        <f>VLOOKUP($B2983,Information!$C$8:$F$15,4,FALSE)</f>
        <v>#N/A</v>
      </c>
      <c r="H2983" s="210" t="str">
        <f>TEXT(A2983,"ddd")</f>
        <v>Sat</v>
      </c>
    </row>
    <row r="2984" spans="1:8" x14ac:dyDescent="0.25">
      <c r="A2984" s="13"/>
      <c r="B2984" s="14"/>
      <c r="C2984" s="39"/>
      <c r="D2984" s="39"/>
      <c r="E2984" s="36" t="str">
        <f>IF(SUM(C2984:D2984)=0," ",SUM(C2984:D2984))</f>
        <v xml:space="preserve"> </v>
      </c>
      <c r="F2984" s="14"/>
      <c r="G2984" s="120" t="e">
        <f>VLOOKUP($B2984,Information!$C$8:$F$15,4,FALSE)</f>
        <v>#N/A</v>
      </c>
      <c r="H2984" s="210" t="str">
        <f>TEXT(A2984,"ddd")</f>
        <v>Sat</v>
      </c>
    </row>
    <row r="2985" spans="1:8" x14ac:dyDescent="0.25">
      <c r="A2985" s="13"/>
      <c r="B2985" s="14"/>
      <c r="C2985" s="39"/>
      <c r="D2985" s="39"/>
      <c r="E2985" s="36" t="str">
        <f>IF(SUM(C2985:D2985)=0," ",SUM(C2985:D2985))</f>
        <v xml:space="preserve"> </v>
      </c>
      <c r="F2985" s="14"/>
      <c r="G2985" s="120" t="e">
        <f>VLOOKUP($B2985,Information!$C$8:$F$15,4,FALSE)</f>
        <v>#N/A</v>
      </c>
      <c r="H2985" s="210" t="str">
        <f>TEXT(A2985,"ddd")</f>
        <v>Sat</v>
      </c>
    </row>
    <row r="2986" spans="1:8" x14ac:dyDescent="0.25">
      <c r="A2986" s="13"/>
      <c r="B2986" s="14"/>
      <c r="C2986" s="39"/>
      <c r="D2986" s="39"/>
      <c r="E2986" s="36" t="str">
        <f>IF(SUM(C2986:D2986)=0," ",SUM(C2986:D2986))</f>
        <v xml:space="preserve"> </v>
      </c>
      <c r="F2986" s="14"/>
      <c r="G2986" s="120" t="e">
        <f>VLOOKUP($B2986,Information!$C$8:$F$15,4,FALSE)</f>
        <v>#N/A</v>
      </c>
      <c r="H2986" s="210" t="str">
        <f>TEXT(A2986,"ddd")</f>
        <v>Sat</v>
      </c>
    </row>
    <row r="2987" spans="1:8" x14ac:dyDescent="0.25">
      <c r="A2987" s="13"/>
      <c r="B2987" s="14"/>
      <c r="C2987" s="39"/>
      <c r="D2987" s="39"/>
      <c r="E2987" s="36" t="str">
        <f>IF(SUM(C2987:D2987)=0," ",SUM(C2987:D2987))</f>
        <v xml:space="preserve"> </v>
      </c>
      <c r="F2987" s="14"/>
      <c r="G2987" s="120" t="e">
        <f>VLOOKUP($B2987,Information!$C$8:$F$15,4,FALSE)</f>
        <v>#N/A</v>
      </c>
      <c r="H2987" s="210" t="str">
        <f>TEXT(A2987,"ddd")</f>
        <v>Sat</v>
      </c>
    </row>
    <row r="2988" spans="1:8" x14ac:dyDescent="0.25">
      <c r="A2988" s="13"/>
      <c r="B2988" s="14"/>
      <c r="C2988" s="39"/>
      <c r="D2988" s="39"/>
      <c r="E2988" s="36" t="str">
        <f>IF(SUM(C2988:D2988)=0," ",SUM(C2988:D2988))</f>
        <v xml:space="preserve"> </v>
      </c>
      <c r="F2988" s="14"/>
      <c r="G2988" s="120" t="e">
        <f>VLOOKUP($B2988,Information!$C$8:$F$15,4,FALSE)</f>
        <v>#N/A</v>
      </c>
      <c r="H2988" s="210" t="str">
        <f>TEXT(A2988,"ddd")</f>
        <v>Sat</v>
      </c>
    </row>
    <row r="2989" spans="1:8" x14ac:dyDescent="0.25">
      <c r="A2989" s="13"/>
      <c r="B2989" s="14"/>
      <c r="C2989" s="39"/>
      <c r="D2989" s="39"/>
      <c r="E2989" s="36" t="str">
        <f>IF(SUM(C2989:D2989)=0," ",SUM(C2989:D2989))</f>
        <v xml:space="preserve"> </v>
      </c>
      <c r="F2989" s="14"/>
      <c r="G2989" s="120" t="e">
        <f>VLOOKUP($B2989,Information!$C$8:$F$15,4,FALSE)</f>
        <v>#N/A</v>
      </c>
      <c r="H2989" s="210" t="str">
        <f>TEXT(A2989,"ddd")</f>
        <v>Sat</v>
      </c>
    </row>
    <row r="2990" spans="1:8" x14ac:dyDescent="0.25">
      <c r="A2990" s="13"/>
      <c r="B2990" s="14"/>
      <c r="C2990" s="39"/>
      <c r="D2990" s="39"/>
      <c r="E2990" s="36" t="str">
        <f>IF(SUM(C2990:D2990)=0," ",SUM(C2990:D2990))</f>
        <v xml:space="preserve"> </v>
      </c>
      <c r="F2990" s="14"/>
      <c r="G2990" s="120" t="e">
        <f>VLOOKUP($B2990,Information!$C$8:$F$15,4,FALSE)</f>
        <v>#N/A</v>
      </c>
      <c r="H2990" s="210" t="str">
        <f>TEXT(A2990,"ddd")</f>
        <v>Sat</v>
      </c>
    </row>
    <row r="2991" spans="1:8" x14ac:dyDescent="0.25">
      <c r="A2991" s="13"/>
      <c r="B2991" s="14"/>
      <c r="C2991" s="39"/>
      <c r="D2991" s="39"/>
      <c r="E2991" s="36" t="str">
        <f>IF(SUM(C2991:D2991)=0," ",SUM(C2991:D2991))</f>
        <v xml:space="preserve"> </v>
      </c>
      <c r="F2991" s="14"/>
      <c r="G2991" s="120" t="e">
        <f>VLOOKUP($B2991,Information!$C$8:$F$15,4,FALSE)</f>
        <v>#N/A</v>
      </c>
      <c r="H2991" s="210" t="str">
        <f>TEXT(A2991,"ddd")</f>
        <v>Sat</v>
      </c>
    </row>
    <row r="2992" spans="1:8" x14ac:dyDescent="0.25">
      <c r="A2992" s="13"/>
      <c r="B2992" s="14"/>
      <c r="C2992" s="39"/>
      <c r="D2992" s="39"/>
      <c r="E2992" s="36" t="str">
        <f>IF(SUM(C2992:D2992)=0," ",SUM(C2992:D2992))</f>
        <v xml:space="preserve"> </v>
      </c>
      <c r="F2992" s="14"/>
      <c r="G2992" s="120" t="e">
        <f>VLOOKUP($B2992,Information!$C$8:$F$15,4,FALSE)</f>
        <v>#N/A</v>
      </c>
      <c r="H2992" s="210" t="str">
        <f>TEXT(A2992,"ddd")</f>
        <v>Sat</v>
      </c>
    </row>
    <row r="2993" spans="1:8" x14ac:dyDescent="0.25">
      <c r="A2993" s="13"/>
      <c r="B2993" s="14"/>
      <c r="C2993" s="39"/>
      <c r="D2993" s="39"/>
      <c r="E2993" s="36" t="str">
        <f>IF(SUM(C2993:D2993)=0," ",SUM(C2993:D2993))</f>
        <v xml:space="preserve"> </v>
      </c>
      <c r="F2993" s="14"/>
      <c r="G2993" s="120" t="e">
        <f>VLOOKUP($B2993,Information!$C$8:$F$15,4,FALSE)</f>
        <v>#N/A</v>
      </c>
      <c r="H2993" s="210" t="str">
        <f>TEXT(A2993,"ddd")</f>
        <v>Sat</v>
      </c>
    </row>
    <row r="2994" spans="1:8" x14ac:dyDescent="0.25">
      <c r="A2994" s="13"/>
      <c r="B2994" s="14"/>
      <c r="C2994" s="39"/>
      <c r="D2994" s="39"/>
      <c r="E2994" s="36" t="str">
        <f>IF(SUM(C2994:D2994)=0," ",SUM(C2994:D2994))</f>
        <v xml:space="preserve"> </v>
      </c>
      <c r="F2994" s="14"/>
      <c r="G2994" s="120" t="e">
        <f>VLOOKUP($B2994,Information!$C$8:$F$15,4,FALSE)</f>
        <v>#N/A</v>
      </c>
      <c r="H2994" s="210" t="str">
        <f>TEXT(A2994,"ddd")</f>
        <v>Sat</v>
      </c>
    </row>
    <row r="2995" spans="1:8" x14ac:dyDescent="0.25">
      <c r="A2995" s="13"/>
      <c r="B2995" s="14"/>
      <c r="C2995" s="39"/>
      <c r="D2995" s="39"/>
      <c r="E2995" s="36" t="str">
        <f>IF(SUM(C2995:D2995)=0," ",SUM(C2995:D2995))</f>
        <v xml:space="preserve"> </v>
      </c>
      <c r="F2995" s="14"/>
      <c r="G2995" s="120" t="e">
        <f>VLOOKUP($B2995,Information!$C$8:$F$15,4,FALSE)</f>
        <v>#N/A</v>
      </c>
      <c r="H2995" s="210" t="str">
        <f>TEXT(A2995,"ddd")</f>
        <v>Sat</v>
      </c>
    </row>
    <row r="2996" spans="1:8" x14ac:dyDescent="0.25">
      <c r="A2996" s="13"/>
      <c r="B2996" s="14"/>
      <c r="C2996" s="39"/>
      <c r="D2996" s="39"/>
      <c r="E2996" s="36" t="str">
        <f>IF(SUM(C2996:D2996)=0," ",SUM(C2996:D2996))</f>
        <v xml:space="preserve"> </v>
      </c>
      <c r="F2996" s="14"/>
      <c r="G2996" s="120" t="e">
        <f>VLOOKUP($B2996,Information!$C$8:$F$15,4,FALSE)</f>
        <v>#N/A</v>
      </c>
      <c r="H2996" s="210" t="str">
        <f>TEXT(A2996,"ddd")</f>
        <v>Sat</v>
      </c>
    </row>
    <row r="2997" spans="1:8" x14ac:dyDescent="0.25">
      <c r="A2997" s="13"/>
      <c r="B2997" s="14"/>
      <c r="C2997" s="39"/>
      <c r="D2997" s="39"/>
      <c r="E2997" s="36" t="str">
        <f>IF(SUM(C2997:D2997)=0," ",SUM(C2997:D2997))</f>
        <v xml:space="preserve"> </v>
      </c>
      <c r="F2997" s="14"/>
      <c r="G2997" s="120" t="e">
        <f>VLOOKUP($B2997,Information!$C$8:$F$15,4,FALSE)</f>
        <v>#N/A</v>
      </c>
      <c r="H2997" s="210" t="str">
        <f>TEXT(A2997,"ddd")</f>
        <v>Sat</v>
      </c>
    </row>
    <row r="2998" spans="1:8" x14ac:dyDescent="0.25">
      <c r="A2998" s="13"/>
      <c r="B2998" s="14"/>
      <c r="C2998" s="39"/>
      <c r="D2998" s="39"/>
      <c r="E2998" s="36" t="str">
        <f>IF(SUM(C2998:D2998)=0," ",SUM(C2998:D2998))</f>
        <v xml:space="preserve"> </v>
      </c>
      <c r="F2998" s="14"/>
      <c r="G2998" s="120" t="e">
        <f>VLOOKUP($B2998,Information!$C$8:$F$15,4,FALSE)</f>
        <v>#N/A</v>
      </c>
      <c r="H2998" s="210" t="str">
        <f>TEXT(A2998,"ddd")</f>
        <v>Sat</v>
      </c>
    </row>
    <row r="2999" spans="1:8" x14ac:dyDescent="0.25">
      <c r="A2999" s="13"/>
      <c r="B2999" s="14"/>
      <c r="C2999" s="39"/>
      <c r="D2999" s="39"/>
      <c r="E2999" s="36" t="str">
        <f>IF(SUM(C2999:D2999)=0," ",SUM(C2999:D2999))</f>
        <v xml:space="preserve"> </v>
      </c>
      <c r="F2999" s="14"/>
      <c r="G2999" s="120" t="e">
        <f>VLOOKUP($B2999,Information!$C$8:$F$15,4,FALSE)</f>
        <v>#N/A</v>
      </c>
      <c r="H2999" s="210" t="str">
        <f>TEXT(A2999,"ddd")</f>
        <v>Sat</v>
      </c>
    </row>
    <row r="3000" spans="1:8" x14ac:dyDescent="0.25">
      <c r="A3000" s="13"/>
      <c r="B3000" s="14"/>
      <c r="C3000" s="39"/>
      <c r="D3000" s="39"/>
      <c r="E3000" s="36" t="str">
        <f>IF(SUM(C3000:D3000)=0," ",SUM(C3000:D3000))</f>
        <v xml:space="preserve"> </v>
      </c>
      <c r="F3000" s="14"/>
      <c r="G3000" s="120" t="e">
        <f>VLOOKUP($B3000,Information!$C$8:$F$15,4,FALSE)</f>
        <v>#N/A</v>
      </c>
      <c r="H3000" s="210" t="str">
        <f>TEXT(A3000,"ddd")</f>
        <v>Sat</v>
      </c>
    </row>
    <row r="1048547" spans="7:7" x14ac:dyDescent="0.25">
      <c r="G1048547" s="20" t="s">
        <v>3</v>
      </c>
    </row>
  </sheetData>
  <sheetProtection algorithmName="SHA-512" hashValue="j70s84DNN1Rm+DFcG+owVgwobM6OuMeHkULqmFRXDnM3Okc7bOcx5TZ2r77hac17q2JHwOMT+lcG6yWBdWry+Q==" saltValue="wkOsqZj93yuHWpeywDF9iA==" spinCount="100000" sheet="1" selectLockedCells="1" sort="0" autoFilter="0"/>
  <protectedRanges>
    <protectedRange sqref="D2:F3 C2:C257 C259:C705 A2:B705 D4:D705 A903:F3000 E4:F902 A706:D902" name="AllowSort"/>
  </protectedRanges>
  <autoFilter ref="A2:H3000">
    <sortState ref="A3:H3000">
      <sortCondition ref="A2:A3000"/>
    </sortState>
  </autoFilter>
  <sortState ref="A2:I51">
    <sortCondition ref="A2:A51"/>
    <sortCondition ref="B2:B51"/>
  </sortState>
  <dataConsolidate/>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Information!$C$8:$C$15</xm:f>
          </x14:formula1>
          <xm:sqref>B3:B1048576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10"/>
  <sheetViews>
    <sheetView showGridLines="0" zoomScaleNormal="100" zoomScaleSheetLayoutView="70" workbookViewId="0">
      <pane xSplit="2" topLeftCell="C1" activePane="topRight" state="frozen"/>
      <selection activeCell="A16" sqref="A16"/>
      <selection pane="topRight" activeCell="L2" sqref="L2"/>
    </sheetView>
  </sheetViews>
  <sheetFormatPr defaultRowHeight="14.4" x14ac:dyDescent="0.3"/>
  <cols>
    <col min="1" max="1" width="2.44140625" style="94" customWidth="1"/>
    <col min="2" max="2" width="35.33203125" style="54" customWidth="1"/>
    <col min="3" max="13" width="7.88671875" style="55" customWidth="1"/>
    <col min="14" max="14" width="11.109375" style="109" customWidth="1"/>
    <col min="15" max="18" width="11.109375" style="218" customWidth="1"/>
    <col min="19" max="24" width="11.109375" style="136" customWidth="1"/>
    <col min="25" max="26" width="11.109375" style="182" customWidth="1"/>
    <col min="27" max="48" width="11.109375" style="136" customWidth="1"/>
    <col min="49" max="49" width="12.6640625" style="117" customWidth="1"/>
    <col min="50" max="52" width="11.109375" style="136" customWidth="1"/>
    <col min="53" max="53" width="11.109375" style="218" customWidth="1"/>
    <col min="54" max="55" width="11.109375" style="214" customWidth="1"/>
    <col min="56" max="60" width="11.109375" style="54" customWidth="1"/>
    <col min="61" max="16384" width="8.88671875" style="54"/>
  </cols>
  <sheetData>
    <row r="1" spans="1:52" ht="18.600000000000001" thickBot="1" x14ac:dyDescent="0.4">
      <c r="B1" s="5"/>
      <c r="C1" s="10"/>
      <c r="D1" s="10"/>
      <c r="E1" s="10"/>
      <c r="F1" s="98"/>
      <c r="G1" s="101" t="s">
        <v>88</v>
      </c>
      <c r="H1" s="111" t="s">
        <v>89</v>
      </c>
      <c r="I1" s="10"/>
      <c r="J1" s="45"/>
      <c r="K1" s="45"/>
      <c r="L1" s="45"/>
      <c r="M1" s="45"/>
      <c r="N1" s="108"/>
      <c r="P1" s="222"/>
      <c r="Q1" s="222"/>
      <c r="R1" s="222"/>
      <c r="S1" s="101"/>
      <c r="T1" s="111"/>
      <c r="U1" s="101"/>
      <c r="V1" s="101"/>
      <c r="W1" s="101"/>
      <c r="X1" s="101"/>
      <c r="Y1" s="189"/>
      <c r="Z1" s="189"/>
      <c r="AA1" s="113">
        <f>$B$5</f>
        <v>0</v>
      </c>
      <c r="AB1" s="113">
        <f>$B$6</f>
        <v>0</v>
      </c>
      <c r="AC1" s="113">
        <f>$B$7</f>
        <v>0</v>
      </c>
      <c r="AD1" s="113">
        <f>$B$8</f>
        <v>0</v>
      </c>
      <c r="AE1" s="113">
        <f>$B$9</f>
        <v>0</v>
      </c>
      <c r="AF1" s="113">
        <f>$B$10</f>
        <v>0</v>
      </c>
      <c r="AG1" s="113">
        <f>$B$11</f>
        <v>0</v>
      </c>
      <c r="AH1" s="113">
        <f>$B$12</f>
        <v>0</v>
      </c>
      <c r="AI1" s="182" t="s">
        <v>2</v>
      </c>
      <c r="AJ1" s="182" t="s">
        <v>76</v>
      </c>
      <c r="AK1" s="182" t="s">
        <v>77</v>
      </c>
      <c r="AM1" s="113">
        <f>$B$5</f>
        <v>0</v>
      </c>
      <c r="AN1" s="113">
        <f>$B$6</f>
        <v>0</v>
      </c>
      <c r="AO1" s="113">
        <f>$B$7</f>
        <v>0</v>
      </c>
      <c r="AP1" s="113">
        <f>$B$8</f>
        <v>0</v>
      </c>
      <c r="AQ1" s="113">
        <f>$B$9</f>
        <v>0</v>
      </c>
      <c r="AR1" s="113">
        <f>$B$10</f>
        <v>0</v>
      </c>
      <c r="AS1" s="113">
        <f>$B$11</f>
        <v>0</v>
      </c>
      <c r="AT1" s="113">
        <f>$B$12</f>
        <v>0</v>
      </c>
      <c r="AU1" s="182" t="s">
        <v>2</v>
      </c>
      <c r="AV1" s="182" t="s">
        <v>76</v>
      </c>
      <c r="AW1" s="116" t="s">
        <v>77</v>
      </c>
      <c r="AX1" s="136" t="str">
        <f>'Report Graphs'!$D$35:$D$35</f>
        <v>10:30</v>
      </c>
    </row>
    <row r="2" spans="1:52" ht="19.2" customHeight="1" thickBot="1" x14ac:dyDescent="0.6">
      <c r="B2" s="65">
        <f>Information!C6</f>
        <v>0</v>
      </c>
      <c r="K2" s="118" t="s">
        <v>90</v>
      </c>
      <c r="L2" s="139" t="s">
        <v>88</v>
      </c>
      <c r="N2" s="110"/>
      <c r="O2" s="224"/>
      <c r="P2" s="223"/>
      <c r="Q2" s="223"/>
      <c r="R2" s="223"/>
      <c r="S2" s="182"/>
      <c r="T2" s="182"/>
      <c r="U2" s="182"/>
      <c r="V2" s="182"/>
      <c r="W2" s="227"/>
      <c r="X2" s="228"/>
      <c r="AA2" s="182" t="e">
        <f>VLOOKUP(AA$1,Information!$C$8:$F$15,4,FALSE)</f>
        <v>#N/A</v>
      </c>
      <c r="AB2" s="182" t="e">
        <f>VLOOKUP(AB$1,Information!$C$8:$F$15,4,FALSE)</f>
        <v>#N/A</v>
      </c>
      <c r="AC2" s="182" t="e">
        <f>VLOOKUP(AC$1,Information!$C$8:$F$15,4,FALSE)</f>
        <v>#N/A</v>
      </c>
      <c r="AD2" s="182" t="e">
        <f>VLOOKUP(AD$1,Information!$C$8:$F$15,4,FALSE)</f>
        <v>#N/A</v>
      </c>
      <c r="AE2" s="182" t="e">
        <f>VLOOKUP(AE$1,Information!$C$8:$F$15,4,FALSE)</f>
        <v>#N/A</v>
      </c>
      <c r="AF2" s="182" t="e">
        <f>VLOOKUP(AF$1,Information!$C$8:$F$15,4,FALSE)</f>
        <v>#N/A</v>
      </c>
      <c r="AG2" s="182" t="e">
        <f>VLOOKUP(AG$1,Information!$C$8:$F$15,4,FALSE)</f>
        <v>#N/A</v>
      </c>
      <c r="AH2" s="182" t="e">
        <f>VLOOKUP(AH$1,Information!$C$8:$F$15,4,FALSE)</f>
        <v>#N/A</v>
      </c>
      <c r="AI2" s="182"/>
      <c r="AJ2" s="182"/>
      <c r="AK2" s="182"/>
      <c r="AM2" s="182" t="e">
        <f>VLOOKUP(AM$1,Information!$C$8:$F$15,4,FALSE)</f>
        <v>#N/A</v>
      </c>
      <c r="AN2" s="182" t="e">
        <f>VLOOKUP(AN$1,Information!$C$8:$F$15,4,FALSE)</f>
        <v>#N/A</v>
      </c>
      <c r="AO2" s="182" t="e">
        <f>VLOOKUP(AO$1,Information!$C$8:$F$15,4,FALSE)</f>
        <v>#N/A</v>
      </c>
      <c r="AP2" s="182" t="e">
        <f>VLOOKUP(AP$1,Information!$C$8:$F$15,4,FALSE)</f>
        <v>#N/A</v>
      </c>
      <c r="AQ2" s="182" t="e">
        <f>VLOOKUP(AQ$1,Information!$C$8:$F$15,4,FALSE)</f>
        <v>#N/A</v>
      </c>
      <c r="AR2" s="182" t="e">
        <f>VLOOKUP(AR$1,Information!$C$8:$F$15,4,FALSE)</f>
        <v>#N/A</v>
      </c>
      <c r="AS2" s="182" t="e">
        <f>VLOOKUP(AS$1,Information!$C$8:$F$15,4,FALSE)</f>
        <v>#N/A</v>
      </c>
      <c r="AT2" s="182" t="e">
        <f>VLOOKUP(AT$1,Information!$C$8:$F$15,4,FALSE)</f>
        <v>#N/A</v>
      </c>
      <c r="AU2" s="182"/>
      <c r="AV2" s="182"/>
      <c r="AW2" s="116"/>
      <c r="AX2" s="111" t="s">
        <v>51</v>
      </c>
      <c r="AY2" s="111" t="s">
        <v>108</v>
      </c>
      <c r="AZ2" s="111" t="s">
        <v>39</v>
      </c>
    </row>
    <row r="3" spans="1:52" ht="17.399999999999999" customHeight="1" x14ac:dyDescent="0.55000000000000004">
      <c r="B3" s="65"/>
      <c r="E3" s="99"/>
      <c r="G3" s="75"/>
      <c r="N3" s="110"/>
      <c r="O3" s="224"/>
      <c r="P3" s="225"/>
      <c r="Q3" s="225"/>
      <c r="R3" s="225"/>
      <c r="S3" s="229"/>
      <c r="T3" s="229"/>
      <c r="U3" s="229"/>
      <c r="V3" s="229"/>
      <c r="W3" s="229"/>
      <c r="X3" s="229"/>
      <c r="Y3" s="149">
        <v>2017</v>
      </c>
      <c r="Z3" s="149" t="s">
        <v>12</v>
      </c>
      <c r="AA3" s="136" t="e">
        <f>IF($L$2="Yes",IF(SUMIFS('DATA INPUT'!$E$3:$E$3000,'DATA INPUT'!$B$3:$B$3000,'Report Tables'!AA$1,'DATA INPUT'!$A$3:$A$3000,"&gt;="&amp;DATE(2017,1,1),'DATA INPUT'!$A$3:$A$3000,"&lt;"&amp;DATE(2017,1,31))=0,#N/A,(SUMIFS('DATA INPUT'!$E$3:$E$3000,'DATA INPUT'!$B$3:$B$3000,'Report Tables'!AA$1,'DATA INPUT'!$A$3:$A$3000,"&gt;="&amp;DATE(2017,1,1),'DATA INPUT'!$A$3:$A$3000,"&lt;"&amp;DATE(2017,1,31)))),IF(SUMIFS('DATA INPUT'!$E$3:$E$3000,'DATA INPUT'!$B$3:$B$3000,'Report Tables'!AA$1,'DATA INPUT'!$A$3:$A$3000,"&gt;="&amp;DATE(2017,1,1),'DATA INPUT'!$A$3:$A$3000,"&lt;"&amp;DATE(2017,1,31),'DATA INPUT'!$F$3:$F$3000,"&lt;&gt;*Exclude*")=0,#N/A,(SUMIFS('DATA INPUT'!$E$3:$E$3000,'DATA INPUT'!$B$3:$B$3000,'Report Tables'!AA$1,'DATA INPUT'!$A$3:$A$3000,"&gt;="&amp;DATE(2017,1,1),'DATA INPUT'!$A$3:$A$3000,"&lt;"&amp;DATE(2017,1,31),'DATA INPUT'!$F$3:$F$3000,"&lt;&gt;*Exclude*"))))</f>
        <v>#N/A</v>
      </c>
      <c r="AB3" s="136" t="e">
        <f>IF($L$2="Yes",IF(SUMIFS('DATA INPUT'!$E$3:$E$3000,'DATA INPUT'!$B$3:$B$3000,'Report Tables'!AB$1,'DATA INPUT'!$A$3:$A$3000,"&gt;="&amp;DATE(2017,1,1),'DATA INPUT'!$A$3:$A$3000,"&lt;"&amp;DATE(2017,1,31))=0,#N/A,(SUMIFS('DATA INPUT'!$E$3:$E$3000,'DATA INPUT'!$B$3:$B$3000,'Report Tables'!AB$1,'DATA INPUT'!$A$3:$A$3000,"&gt;="&amp;DATE(2017,1,1),'DATA INPUT'!$A$3:$A$3000,"&lt;"&amp;DATE(2017,1,31)))),IF(SUMIFS('DATA INPUT'!$E$3:$E$3000,'DATA INPUT'!$B$3:$B$3000,'Report Tables'!AB$1,'DATA INPUT'!$A$3:$A$3000,"&gt;="&amp;DATE(2017,1,1),'DATA INPUT'!$A$3:$A$3000,"&lt;"&amp;DATE(2017,1,31),'DATA INPUT'!$F$3:$F$3000,"&lt;&gt;*Exclude*")=0,#N/A,(SUMIFS('DATA INPUT'!$E$3:$E$3000,'DATA INPUT'!$B$3:$B$3000,'Report Tables'!AB$1,'DATA INPUT'!$A$3:$A$3000,"&gt;="&amp;DATE(2017,1,1),'DATA INPUT'!$A$3:$A$3000,"&lt;"&amp;DATE(2017,1,31),'DATA INPUT'!$F$3:$F$3000,"&lt;&gt;*Exclude*"))))</f>
        <v>#N/A</v>
      </c>
      <c r="AC3" s="136" t="e">
        <f>IF($L$2="Yes",IF(SUMIFS('DATA INPUT'!$E$3:$E$3000,'DATA INPUT'!$B$3:$B$3000,'Report Tables'!AC$1,'DATA INPUT'!$A$3:$A$3000,"&gt;="&amp;DATE(2017,1,1),'DATA INPUT'!$A$3:$A$3000,"&lt;"&amp;DATE(2017,1,31))=0,#N/A,(SUMIFS('DATA INPUT'!$E$3:$E$3000,'DATA INPUT'!$B$3:$B$3000,'Report Tables'!AC$1,'DATA INPUT'!$A$3:$A$3000,"&gt;="&amp;DATE(2017,1,1),'DATA INPUT'!$A$3:$A$3000,"&lt;"&amp;DATE(2017,1,31)))),IF(SUMIFS('DATA INPUT'!$E$3:$E$3000,'DATA INPUT'!$B$3:$B$3000,'Report Tables'!AC$1,'DATA INPUT'!$A$3:$A$3000,"&gt;="&amp;DATE(2017,1,1),'DATA INPUT'!$A$3:$A$3000,"&lt;"&amp;DATE(2017,1,31),'DATA INPUT'!$F$3:$F$3000,"&lt;&gt;*Exclude*")=0,#N/A,(SUMIFS('DATA INPUT'!$E$3:$E$3000,'DATA INPUT'!$B$3:$B$3000,'Report Tables'!AC$1,'DATA INPUT'!$A$3:$A$3000,"&gt;="&amp;DATE(2017,1,1),'DATA INPUT'!$A$3:$A$3000,"&lt;"&amp;DATE(2017,1,31),'DATA INPUT'!$F$3:$F$3000,"&lt;&gt;*Exclude*"))))</f>
        <v>#N/A</v>
      </c>
      <c r="AD3" s="136" t="e">
        <f>IF($L$2="Yes",IF(SUMIFS('DATA INPUT'!$E$3:$E$3000,'DATA INPUT'!$B$3:$B$3000,'Report Tables'!AD$1,'DATA INPUT'!$A$3:$A$3000,"&gt;="&amp;DATE(2017,1,1),'DATA INPUT'!$A$3:$A$3000,"&lt;"&amp;DATE(2017,1,31))=0,#N/A,(SUMIFS('DATA INPUT'!$E$3:$E$3000,'DATA INPUT'!$B$3:$B$3000,'Report Tables'!AD$1,'DATA INPUT'!$A$3:$A$3000,"&gt;="&amp;DATE(2017,1,1),'DATA INPUT'!$A$3:$A$3000,"&lt;"&amp;DATE(2017,1,31)))),IF(SUMIFS('DATA INPUT'!$E$3:$E$3000,'DATA INPUT'!$B$3:$B$3000,'Report Tables'!AD$1,'DATA INPUT'!$A$3:$A$3000,"&gt;="&amp;DATE(2017,1,1),'DATA INPUT'!$A$3:$A$3000,"&lt;"&amp;DATE(2017,1,31),'DATA INPUT'!$F$3:$F$3000,"&lt;&gt;*Exclude*")=0,#N/A,(SUMIFS('DATA INPUT'!$E$3:$E$3000,'DATA INPUT'!$B$3:$B$3000,'Report Tables'!AD$1,'DATA INPUT'!$A$3:$A$3000,"&gt;="&amp;DATE(2017,1,1),'DATA INPUT'!$A$3:$A$3000,"&lt;"&amp;DATE(2017,1,31),'DATA INPUT'!$F$3:$F$3000,"&lt;&gt;*Exclude*"))))</f>
        <v>#N/A</v>
      </c>
      <c r="AE3" s="136" t="e">
        <f>IF($L$2="Yes",IF(SUMIFS('DATA INPUT'!$E$3:$E$3000,'DATA INPUT'!$B$3:$B$3000,'Report Tables'!AE$1,'DATA INPUT'!$A$3:$A$3000,"&gt;="&amp;DATE(2017,1,1),'DATA INPUT'!$A$3:$A$3000,"&lt;"&amp;DATE(2017,1,31))=0,#N/A,(SUMIFS('DATA INPUT'!$E$3:$E$3000,'DATA INPUT'!$B$3:$B$3000,'Report Tables'!AE$1,'DATA INPUT'!$A$3:$A$3000,"&gt;="&amp;DATE(2017,1,1),'DATA INPUT'!$A$3:$A$3000,"&lt;"&amp;DATE(2017,1,31)))),IF(SUMIFS('DATA INPUT'!$E$3:$E$3000,'DATA INPUT'!$B$3:$B$3000,'Report Tables'!AE$1,'DATA INPUT'!$A$3:$A$3000,"&gt;="&amp;DATE(2017,1,1),'DATA INPUT'!$A$3:$A$3000,"&lt;"&amp;DATE(2017,1,31),'DATA INPUT'!$F$3:$F$3000,"&lt;&gt;*Exclude*")=0,#N/A,(SUMIFS('DATA INPUT'!$E$3:$E$3000,'DATA INPUT'!$B$3:$B$3000,'Report Tables'!AE$1,'DATA INPUT'!$A$3:$A$3000,"&gt;="&amp;DATE(2017,1,1),'DATA INPUT'!$A$3:$A$3000,"&lt;"&amp;DATE(2017,1,31),'DATA INPUT'!$F$3:$F$3000,"&lt;&gt;*Exclude*"))))</f>
        <v>#N/A</v>
      </c>
      <c r="AF3" s="136" t="e">
        <f>IF($L$2="Yes",IF(SUMIFS('DATA INPUT'!$E$3:$E$3000,'DATA INPUT'!$B$3:$B$3000,'Report Tables'!AF$1,'DATA INPUT'!$A$3:$A$3000,"&gt;="&amp;DATE(2017,1,1),'DATA INPUT'!$A$3:$A$3000,"&lt;"&amp;DATE(2017,1,31))=0,#N/A,(SUMIFS('DATA INPUT'!$E$3:$E$3000,'DATA INPUT'!$B$3:$B$3000,'Report Tables'!AF$1,'DATA INPUT'!$A$3:$A$3000,"&gt;="&amp;DATE(2017,1,1),'DATA INPUT'!$A$3:$A$3000,"&lt;"&amp;DATE(2017,1,31)))),IF(SUMIFS('DATA INPUT'!$E$3:$E$3000,'DATA INPUT'!$B$3:$B$3000,'Report Tables'!AF$1,'DATA INPUT'!$A$3:$A$3000,"&gt;="&amp;DATE(2017,1,1),'DATA INPUT'!$A$3:$A$3000,"&lt;"&amp;DATE(2017,1,31),'DATA INPUT'!$F$3:$F$3000,"&lt;&gt;*Exclude*")=0,#N/A,(SUMIFS('DATA INPUT'!$E$3:$E$3000,'DATA INPUT'!$B$3:$B$3000,'Report Tables'!AF$1,'DATA INPUT'!$A$3:$A$3000,"&gt;="&amp;DATE(2017,1,1),'DATA INPUT'!$A$3:$A$3000,"&lt;"&amp;DATE(2017,1,31),'DATA INPUT'!$F$3:$F$3000,"&lt;&gt;*Exclude*"))))</f>
        <v>#N/A</v>
      </c>
      <c r="AG3" s="136" t="e">
        <f>IF($L$2="Yes",IF(SUMIFS('DATA INPUT'!$E$3:$E$3000,'DATA INPUT'!$B$3:$B$3000,'Report Tables'!AG$1,'DATA INPUT'!$A$3:$A$3000,"&gt;="&amp;DATE(2017,1,1),'DATA INPUT'!$A$3:$A$3000,"&lt;"&amp;DATE(2017,1,31))=0,#N/A,(SUMIFS('DATA INPUT'!$E$3:$E$3000,'DATA INPUT'!$B$3:$B$3000,'Report Tables'!AG$1,'DATA INPUT'!$A$3:$A$3000,"&gt;="&amp;DATE(2017,1,1),'DATA INPUT'!$A$3:$A$3000,"&lt;"&amp;DATE(2017,1,31)))),IF(SUMIFS('DATA INPUT'!$E$3:$E$3000,'DATA INPUT'!$B$3:$B$3000,'Report Tables'!AG$1,'DATA INPUT'!$A$3:$A$3000,"&gt;="&amp;DATE(2017,1,1),'DATA INPUT'!$A$3:$A$3000,"&lt;"&amp;DATE(2017,1,31),'DATA INPUT'!$F$3:$F$3000,"&lt;&gt;*Exclude*")=0,#N/A,(SUMIFS('DATA INPUT'!$E$3:$E$3000,'DATA INPUT'!$B$3:$B$3000,'Report Tables'!AG$1,'DATA INPUT'!$A$3:$A$3000,"&gt;="&amp;DATE(2017,1,1),'DATA INPUT'!$A$3:$A$3000,"&lt;"&amp;DATE(2017,1,31),'DATA INPUT'!$F$3:$F$3000,"&lt;&gt;*Exclude*"))))</f>
        <v>#N/A</v>
      </c>
      <c r="AH3" s="136" t="e">
        <f>IF($L$2="Yes",IF(SUMIFS('DATA INPUT'!$E$3:$E$3000,'DATA INPUT'!$B$3:$B$3000,'Report Tables'!AH$1,'DATA INPUT'!$A$3:$A$3000,"&gt;="&amp;DATE(2017,1,1),'DATA INPUT'!$A$3:$A$3000,"&lt;"&amp;DATE(2017,1,31))=0,#N/A,(SUMIFS('DATA INPUT'!$E$3:$E$3000,'DATA INPUT'!$B$3:$B$3000,'Report Tables'!AH$1,'DATA INPUT'!$A$3:$A$3000,"&gt;="&amp;DATE(2017,1,1),'DATA INPUT'!$A$3:$A$3000,"&lt;"&amp;DATE(2017,1,31)))),IF(SUMIFS('DATA INPUT'!$E$3:$E$3000,'DATA INPUT'!$B$3:$B$3000,'Report Tables'!AH$1,'DATA INPUT'!$A$3:$A$3000,"&gt;="&amp;DATE(2017,1,1),'DATA INPUT'!$A$3:$A$3000,"&lt;"&amp;DATE(2017,1,31),'DATA INPUT'!$F$3:$F$3000,"&lt;&gt;*Exclude*")=0,#N/A,(SUMIFS('DATA INPUT'!$E$3:$E$3000,'DATA INPUT'!$B$3:$B$3000,'Report Tables'!AH$1,'DATA INPUT'!$A$3:$A$3000,"&gt;="&amp;DATE(2017,1,1),'DATA INPUT'!$A$3:$A$3000,"&lt;"&amp;DATE(2017,1,31),'DATA INPUT'!$F$3:$F$3000,"&lt;&gt;*Exclude*"))))</f>
        <v>#N/A</v>
      </c>
      <c r="AI3" s="136" t="e">
        <f>IF(SUMIFS(AA3:AH3,AA3:AH3,"&lt;&gt;#DIV/0!",AA3:AH3,"&lt;&gt;#n/a",$AA$2:$AH$2,"&lt;&gt;*School Service*")=0,#N/A,SUMIFS(AA3:AH3,AA3:AH3,"&lt;&gt;#DIV/0!",AA3:AH3,"&lt;&gt;#n/a",$AA$2:$AH$2,"&lt;&gt;*School Service*"))</f>
        <v>#N/A</v>
      </c>
      <c r="AJ3" s="136" t="e">
        <f>IF($L$2="Yes",IF(SUMIFS('DATA INPUT'!$D$3:$D$3000,'DATA INPUT'!$A$3:$A$3000,"&gt;="&amp;DATE(2017,1,1),'DATA INPUT'!$A$3:$A$3000,"&lt;"&amp;DATE(2017,1,31),'DATA INPUT'!$G$3:$G$3000,"&lt;&gt;*School service*")=0,#N/A,(SUMIFS('DATA INPUT'!$D$3:$D$3000,'DATA INPUT'!$A$3:$A$3000,"&gt;="&amp;DATE(2017,1,1),'DATA INPUT'!$A$3:$A$3000,"&lt;"&amp;DATE(2017,1,31),'DATA INPUT'!$G$3:$G$3000,"&lt;&gt;*School service*"))),IF(SUMIFS('DATA INPUT'!$D$3:$D$3000,'DATA INPUT'!$A$3:$A$3000,"&gt;="&amp;DATE(2017,1,1),'DATA INPUT'!$A$3:$A$3000,"&lt;"&amp;DATE(2017,1,31),'DATA INPUT'!$F$3:$F$3000,"&lt;&gt;*Exclude*",'DATA INPUT'!$G$3:$G$3000,"&lt;&gt;*School service*")=0,#N/A,(SUMIFS('DATA INPUT'!$D$3:$D$3000,'DATA INPUT'!$A$3:$A$3000,"&gt;="&amp;DATE(2017,1,1),'DATA INPUT'!$A$3:$A$3000,"&lt;"&amp;DATE(2017,1,31),'DATA INPUT'!$F$3:$F$3000,"&lt;&gt;*Exclude*",'DATA INPUT'!$G$3:$G$3000,"&lt;&gt;*School service*"))))</f>
        <v>#N/A</v>
      </c>
      <c r="AK3" s="136">
        <f>IF(ISNA(AI3),0,AI3)-IF(ISNA(AJ3),0,AJ3)</f>
        <v>0</v>
      </c>
      <c r="AM3" s="117" t="e">
        <f>IF($L$2="Yes",IFERROR((SUMIFS('DATA INPUT'!$E$3:$E$3000,'DATA INPUT'!$B$3:$B$3000,'Report Tables'!AM$1,'DATA INPUT'!$A$3:$A$3000,"&gt;="&amp;DATE(2017,1,1),'DATA INPUT'!$A$3:$A$3000,"&lt;"&amp;DATE(2017,1,31)))/COUNTIFS('DATA INPUT'!$B$3:$B$3000,'Report Tables'!AM$1,'DATA INPUT'!$A$3:$A$3000,"&gt;="&amp;DATE(2017,1,1),'DATA INPUT'!$A$3:$A$3000,"&lt;"&amp;DATE(2017,1,31)),#N/A),IFERROR((SUMIFS('DATA INPUT'!$E$3:$E$3000,'DATA INPUT'!$B$3:$B$3000,'Report Tables'!AM$1,'DATA INPUT'!$A$3:$A$3000,"&gt;="&amp;DATE(2017,1,1),'DATA INPUT'!$A$3:$A$3000,"&lt;"&amp;DATE(2017,1,31),'DATA INPUT'!$F$3:$F$3000,"&lt;&gt;*Exclude*"))/(COUNTIFS('DATA INPUT'!$B$3:$B$3000,'Report Tables'!AM$1,'DATA INPUT'!$A$3:$A$3000,"&gt;="&amp;DATE(2017,1,1),'DATA INPUT'!$A$3:$A$3000,"&lt;"&amp;DATE(2017,1,31),'DATA INPUT'!$F$3:$F$3000,"&lt;&gt;*Exclude*")),#N/A))</f>
        <v>#N/A</v>
      </c>
      <c r="AN3" s="117" t="e">
        <f>IF($L$2="Yes",IFERROR((SUMIFS('DATA INPUT'!$E$3:$E$3000,'DATA INPUT'!$B$3:$B$3000,'Report Tables'!AN$1,'DATA INPUT'!$A$3:$A$3000,"&gt;="&amp;DATE(2017,1,1),'DATA INPUT'!$A$3:$A$3000,"&lt;"&amp;DATE(2017,1,31)))/COUNTIFS('DATA INPUT'!$B$3:$B$3000,'Report Tables'!AN$1,'DATA INPUT'!$A$3:$A$3000,"&gt;="&amp;DATE(2017,1,1),'DATA INPUT'!$A$3:$A$3000,"&lt;"&amp;DATE(2017,1,31)),#N/A),IFERROR((SUMIFS('DATA INPUT'!$E$3:$E$3000,'DATA INPUT'!$B$3:$B$3000,'Report Tables'!AN$1,'DATA INPUT'!$A$3:$A$3000,"&gt;="&amp;DATE(2017,1,1),'DATA INPUT'!$A$3:$A$3000,"&lt;"&amp;DATE(2017,1,31),'DATA INPUT'!$F$3:$F$3000,"&lt;&gt;*Exclude*"))/(COUNTIFS('DATA INPUT'!$B$3:$B$3000,'Report Tables'!AN$1,'DATA INPUT'!$A$3:$A$3000,"&gt;="&amp;DATE(2017,1,1),'DATA INPUT'!$A$3:$A$3000,"&lt;"&amp;DATE(2017,1,31),'DATA INPUT'!$F$3:$F$3000,"&lt;&gt;*Exclude*")),#N/A))</f>
        <v>#N/A</v>
      </c>
      <c r="AO3" s="117" t="e">
        <f>IF($L$2="Yes",IFERROR((SUMIFS('DATA INPUT'!$E$3:$E$3000,'DATA INPUT'!$B$3:$B$3000,'Report Tables'!AO$1,'DATA INPUT'!$A$3:$A$3000,"&gt;="&amp;DATE(2017,1,1),'DATA INPUT'!$A$3:$A$3000,"&lt;"&amp;DATE(2017,1,31)))/COUNTIFS('DATA INPUT'!$B$3:$B$3000,'Report Tables'!AO$1,'DATA INPUT'!$A$3:$A$3000,"&gt;="&amp;DATE(2017,1,1),'DATA INPUT'!$A$3:$A$3000,"&lt;"&amp;DATE(2017,1,31)),#N/A),IFERROR((SUMIFS('DATA INPUT'!$E$3:$E$3000,'DATA INPUT'!$B$3:$B$3000,'Report Tables'!AO$1,'DATA INPUT'!$A$3:$A$3000,"&gt;="&amp;DATE(2017,1,1),'DATA INPUT'!$A$3:$A$3000,"&lt;"&amp;DATE(2017,1,31),'DATA INPUT'!$F$3:$F$3000,"&lt;&gt;*Exclude*"))/(COUNTIFS('DATA INPUT'!$B$3:$B$3000,'Report Tables'!AO$1,'DATA INPUT'!$A$3:$A$3000,"&gt;="&amp;DATE(2017,1,1),'DATA INPUT'!$A$3:$A$3000,"&lt;"&amp;DATE(2017,1,31),'DATA INPUT'!$F$3:$F$3000,"&lt;&gt;*Exclude*")),#N/A))</f>
        <v>#N/A</v>
      </c>
      <c r="AP3" s="117" t="e">
        <f>IF($L$2="Yes",IFERROR((SUMIFS('DATA INPUT'!$E$3:$E$3000,'DATA INPUT'!$B$3:$B$3000,'Report Tables'!AP$1,'DATA INPUT'!$A$3:$A$3000,"&gt;="&amp;DATE(2017,1,1),'DATA INPUT'!$A$3:$A$3000,"&lt;"&amp;DATE(2017,1,31)))/COUNTIFS('DATA INPUT'!$B$3:$B$3000,'Report Tables'!AP$1,'DATA INPUT'!$A$3:$A$3000,"&gt;="&amp;DATE(2017,1,1),'DATA INPUT'!$A$3:$A$3000,"&lt;"&amp;DATE(2017,1,31)),#N/A),IFERROR((SUMIFS('DATA INPUT'!$E$3:$E$3000,'DATA INPUT'!$B$3:$B$3000,'Report Tables'!AP$1,'DATA INPUT'!$A$3:$A$3000,"&gt;="&amp;DATE(2017,1,1),'DATA INPUT'!$A$3:$A$3000,"&lt;"&amp;DATE(2017,1,31),'DATA INPUT'!$F$3:$F$3000,"&lt;&gt;*Exclude*"))/(COUNTIFS('DATA INPUT'!$B$3:$B$3000,'Report Tables'!AP$1,'DATA INPUT'!$A$3:$A$3000,"&gt;="&amp;DATE(2017,1,1),'DATA INPUT'!$A$3:$A$3000,"&lt;"&amp;DATE(2017,1,31),'DATA INPUT'!$F$3:$F$3000,"&lt;&gt;*Exclude*")),#N/A))</f>
        <v>#N/A</v>
      </c>
      <c r="AQ3" s="117" t="e">
        <f>IF($L$2="Yes",IFERROR((SUMIFS('DATA INPUT'!$E$3:$E$3000,'DATA INPUT'!$B$3:$B$3000,'Report Tables'!AQ$1,'DATA INPUT'!$A$3:$A$3000,"&gt;="&amp;DATE(2017,1,1),'DATA INPUT'!$A$3:$A$3000,"&lt;"&amp;DATE(2017,1,31)))/COUNTIFS('DATA INPUT'!$B$3:$B$3000,'Report Tables'!AQ$1,'DATA INPUT'!$A$3:$A$3000,"&gt;="&amp;DATE(2017,1,1),'DATA INPUT'!$A$3:$A$3000,"&lt;"&amp;DATE(2017,1,31)),#N/A),IFERROR((SUMIFS('DATA INPUT'!$E$3:$E$3000,'DATA INPUT'!$B$3:$B$3000,'Report Tables'!AQ$1,'DATA INPUT'!$A$3:$A$3000,"&gt;="&amp;DATE(2017,1,1),'DATA INPUT'!$A$3:$A$3000,"&lt;"&amp;DATE(2017,1,31),'DATA INPUT'!$F$3:$F$3000,"&lt;&gt;*Exclude*"))/(COUNTIFS('DATA INPUT'!$B$3:$B$3000,'Report Tables'!AQ$1,'DATA INPUT'!$A$3:$A$3000,"&gt;="&amp;DATE(2017,1,1),'DATA INPUT'!$A$3:$A$3000,"&lt;"&amp;DATE(2017,1,31),'DATA INPUT'!$F$3:$F$3000,"&lt;&gt;*Exclude*")),#N/A))</f>
        <v>#N/A</v>
      </c>
      <c r="AR3" s="117" t="e">
        <f>IF($L$2="Yes",IFERROR((SUMIFS('DATA INPUT'!$E$3:$E$3000,'DATA INPUT'!$B$3:$B$3000,'Report Tables'!AR$1,'DATA INPUT'!$A$3:$A$3000,"&gt;="&amp;DATE(2017,1,1),'DATA INPUT'!$A$3:$A$3000,"&lt;"&amp;DATE(2017,1,31)))/COUNTIFS('DATA INPUT'!$B$3:$B$3000,'Report Tables'!AR$1,'DATA INPUT'!$A$3:$A$3000,"&gt;="&amp;DATE(2017,1,1),'DATA INPUT'!$A$3:$A$3000,"&lt;"&amp;DATE(2017,1,31)),#N/A),IFERROR((SUMIFS('DATA INPUT'!$E$3:$E$3000,'DATA INPUT'!$B$3:$B$3000,'Report Tables'!AR$1,'DATA INPUT'!$A$3:$A$3000,"&gt;="&amp;DATE(2017,1,1),'DATA INPUT'!$A$3:$A$3000,"&lt;"&amp;DATE(2017,1,31),'DATA INPUT'!$F$3:$F$3000,"&lt;&gt;*Exclude*"))/(COUNTIFS('DATA INPUT'!$B$3:$B$3000,'Report Tables'!AR$1,'DATA INPUT'!$A$3:$A$3000,"&gt;="&amp;DATE(2017,1,1),'DATA INPUT'!$A$3:$A$3000,"&lt;"&amp;DATE(2017,1,31),'DATA INPUT'!$F$3:$F$3000,"&lt;&gt;*Exclude*")),#N/A))</f>
        <v>#N/A</v>
      </c>
      <c r="AS3" s="117" t="e">
        <f>IF($L$2="Yes",IFERROR((SUMIFS('DATA INPUT'!$E$3:$E$3000,'DATA INPUT'!$B$3:$B$3000,'Report Tables'!AS$1,'DATA INPUT'!$A$3:$A$3000,"&gt;="&amp;DATE(2017,1,1),'DATA INPUT'!$A$3:$A$3000,"&lt;"&amp;DATE(2017,1,31)))/COUNTIFS('DATA INPUT'!$B$3:$B$3000,'Report Tables'!AS$1,'DATA INPUT'!$A$3:$A$3000,"&gt;="&amp;DATE(2017,1,1),'DATA INPUT'!$A$3:$A$3000,"&lt;"&amp;DATE(2017,1,31)),#N/A),IFERROR((SUMIFS('DATA INPUT'!$E$3:$E$3000,'DATA INPUT'!$B$3:$B$3000,'Report Tables'!AS$1,'DATA INPUT'!$A$3:$A$3000,"&gt;="&amp;DATE(2017,1,1),'DATA INPUT'!$A$3:$A$3000,"&lt;"&amp;DATE(2017,1,31),'DATA INPUT'!$F$3:$F$3000,"&lt;&gt;*Exclude*"))/(COUNTIFS('DATA INPUT'!$B$3:$B$3000,'Report Tables'!AS$1,'DATA INPUT'!$A$3:$A$3000,"&gt;="&amp;DATE(2017,1,1),'DATA INPUT'!$A$3:$A$3000,"&lt;"&amp;DATE(2017,1,31),'DATA INPUT'!$F$3:$F$3000,"&lt;&gt;*Exclude*")),#N/A))</f>
        <v>#N/A</v>
      </c>
      <c r="AT3" s="117" t="e">
        <f>IF($L$2="Yes",IFERROR((SUMIFS('DATA INPUT'!$E$3:$E$3000,'DATA INPUT'!$B$3:$B$3000,'Report Tables'!AT$1,'DATA INPUT'!$A$3:$A$3000,"&gt;="&amp;DATE(2017,1,1),'DATA INPUT'!$A$3:$A$3000,"&lt;"&amp;DATE(2017,1,31)))/COUNTIFS('DATA INPUT'!$B$3:$B$3000,'Report Tables'!AT$1,'DATA INPUT'!$A$3:$A$3000,"&gt;="&amp;DATE(2017,1,1),'DATA INPUT'!$A$3:$A$3000,"&lt;"&amp;DATE(2017,1,31)),#N/A),IFERROR((SUMIFS('DATA INPUT'!$E$3:$E$3000,'DATA INPUT'!$B$3:$B$3000,'Report Tables'!AT$1,'DATA INPUT'!$A$3:$A$3000,"&gt;="&amp;DATE(2017,1,1),'DATA INPUT'!$A$3:$A$3000,"&lt;"&amp;DATE(2017,1,31),'DATA INPUT'!$F$3:$F$3000,"&lt;&gt;*Exclude*"))/(COUNTIFS('DATA INPUT'!$B$3:$B$3000,'Report Tables'!AT$1,'DATA INPUT'!$A$3:$A$3000,"&gt;="&amp;DATE(2017,1,1),'DATA INPUT'!$A$3:$A$3000,"&lt;"&amp;DATE(2017,1,31),'DATA INPUT'!$F$3:$F$3000,"&lt;&gt;*Exclude*")),#N/A))</f>
        <v>#N/A</v>
      </c>
      <c r="AU3" s="117" t="e">
        <f>IF(SUMIFS(AM3:AT3,AM3:AT3,"&lt;&gt;#DIV/0!",AM3:AT3,"&lt;&gt;#n/a",$AA$2:$AH$2,"&lt;&gt;*School Service*")=0,#N/A,SUMIFS(AM3:AT3,AM3:AT3,"&lt;&gt;#DIV/0!",AM3:AT3,"&lt;&gt;#n/a",$AA$2:$AH$2,"&lt;&gt;*School Service*"))</f>
        <v>#N/A</v>
      </c>
      <c r="AV3" s="117" t="e">
        <f>IF($L$2="Yes",IFERROR((SUMIFS('DATA INPUT'!$D$3:$D$3000,'DATA INPUT'!$A$3:$A$3000,"&gt;="&amp;DATE(2017,1,1),'DATA INPUT'!$A$3:$A$3000,"&lt;"&amp;DATE(2017,1,31),'DATA INPUT'!$G$3:$G$3000,"&lt;&gt;*School service*"))/COUNTIFS('DATA INPUT'!$A$3:$A$3000,"&gt;="&amp;DATE(2017,1,1),'DATA INPUT'!$A$3:$A$3000,"&lt;"&amp;DATE(2017,1,31),'DATA INPUT'!$G$3:$G$3000,"&lt;&gt;*School service*",'DATA INPUT'!$D$3:$D$3000,"&lt;&gt;"&amp;""),#N/A),IFERROR((SUMIFS('DATA INPUT'!$D$3:$D$3000,'DATA INPUT'!$A$3:$A$3000,"&gt;="&amp;DATE(2017,1,1),'DATA INPUT'!$A$3:$A$3000,"&lt;"&amp;DATE(2017,1,31),'DATA INPUT'!$F$3:$F$3000,"&lt;&gt;*Exclude*",'DATA INPUT'!$G$3:$G$3000,"&lt;&gt;*School service*"))/(COUNTIFS('DATA INPUT'!$A$3:$A$3000,"&gt;="&amp;DATE(2017,1,1),'DATA INPUT'!$A$3:$A$3000,"&lt;"&amp;DATE(2017,1,31),'DATA INPUT'!$F$3:$F$3000,"&lt;&gt;*Exclude*",'DATA INPUT'!$G$3:$G$3000,"&lt;&gt;*School service*",'DATA INPUT'!$D$3:$D$3000,"&lt;&gt;"&amp;"")),#N/A))</f>
        <v>#N/A</v>
      </c>
      <c r="AW3" s="117" t="e">
        <f>IF(IF(ISNA(AU3),0,AU3)-IF(ISNA(AV3),0,AV3)=0,#N/A,IF(ISNA(AU3),0,AU3)-IF(ISNA(AV3),0,AV3))</f>
        <v>#N/A</v>
      </c>
      <c r="AX3" s="117" t="e">
        <f>IF($L$2="Yes",IFERROR((SUMIFS('DATA INPUT'!$E$3:$E$3000,'DATA INPUT'!$B$3:$B$3000,'Report Tables'!AX$1,'DATA INPUT'!$A$3:$A$3000,"&gt;="&amp;DATE(2017,1,1),'DATA INPUT'!$A$3:$A$3000,"&lt;"&amp;DATE(2017,1,31)))/COUNTIFS('DATA INPUT'!$B$3:$B$3000,'Report Tables'!AX$1,'DATA INPUT'!$A$3:$A$3000,"&gt;="&amp;DATE(2017,1,1),'DATA INPUT'!$A$3:$A$3000,"&lt;"&amp;DATE(2017,1,31)),#N/A),IFERROR((SUMIFS('DATA INPUT'!$E$3:$E$3000,'DATA INPUT'!$B$3:$B$3000,'Report Tables'!AX$1,'DATA INPUT'!$A$3:$A$3000,"&gt;="&amp;DATE(2017,1,1),'DATA INPUT'!$A$3:$A$3000,"&lt;"&amp;DATE(2017,1,31),'DATA INPUT'!$F$3:$F$3000,"&lt;&gt;*Exclude*"))/(COUNTIFS('DATA INPUT'!$B$3:$B$3000,'Report Tables'!AX$1,'DATA INPUT'!$A$3:$A$3000,"&gt;="&amp;DATE(2017,1,1),'DATA INPUT'!$A$3:$A$3000,"&lt;"&amp;DATE(2017,1,31),'DATA INPUT'!$F$3:$F$3000,"&lt;&gt;*Exclude*")),#N/A))</f>
        <v>#N/A</v>
      </c>
      <c r="AY3" s="117" t="e">
        <f>IF($L$2="Yes",IFERROR((SUMIFS('DATA INPUT'!$D$3:$D$3000,'DATA INPUT'!$B$3:$B$3000,'Report Tables'!AX$1,'DATA INPUT'!$A$3:$A$3000,"&gt;="&amp;DATE(2017,1,1),'DATA INPUT'!$A$3:$A$3000,"&lt;"&amp;DATE(2017,1,31)))/COUNTIFS('DATA INPUT'!$B$3:$B$3000,'Report Tables'!AX$1,'DATA INPUT'!$A$3:$A$3000,"&gt;="&amp;DATE(2017,1,1),'DATA INPUT'!$A$3:$A$3000,"&lt;"&amp;DATE(2017,1,31)),#N/A),IFERROR((SUMIFS('DATA INPUT'!$D$3:$D$3000,'DATA INPUT'!$B$3:$B$3000,'Report Tables'!AX$1,'DATA INPUT'!$A$3:$A$3000,"&gt;="&amp;DATE(2017,1,1),'DATA INPUT'!$A$3:$A$3000,"&lt;"&amp;DATE(2017,1,31),'DATA INPUT'!$F$3:$F$3000,"&lt;&gt;*Exclude*"))/(COUNTIFS('DATA INPUT'!$B$3:$B$3000,'Report Tables'!AX$1,'DATA INPUT'!$A$3:$A$3000,"&gt;="&amp;DATE(2017,1,1),'DATA INPUT'!$A$3:$A$3000,"&lt;"&amp;DATE(2017,1,31),'DATA INPUT'!$F$3:$F$3000,"&lt;&gt;*Exclude*")),#N/A))</f>
        <v>#N/A</v>
      </c>
      <c r="AZ3" s="117" t="e">
        <f>IF($L$2="Yes",IFERROR((SUMIFS('DATA INPUT'!$C$3:$C$3000,'DATA INPUT'!$B$3:$B$3000,'Report Tables'!AX$1,'DATA INPUT'!$A$3:$A$3000,"&gt;="&amp;DATE(2017,1,1),'DATA INPUT'!$A$3:$A$3000,"&lt;"&amp;DATE(2017,1,31)))/COUNTIFS('DATA INPUT'!$B$3:$B$3000,'Report Tables'!AX$1,'DATA INPUT'!$A$3:$A$3000,"&gt;="&amp;DATE(2017,1,1),'DATA INPUT'!$A$3:$A$3000,"&lt;"&amp;DATE(2017,1,31)),#N/A),IFERROR((SUMIFS('DATA INPUT'!$C$3:$C$3000,'DATA INPUT'!$B$3:$B$3000,'Report Tables'!AX$1,'DATA INPUT'!$A$3:$A$3000,"&gt;="&amp;DATE(2017,1,1),'DATA INPUT'!$A$3:$A$3000,"&lt;"&amp;DATE(2017,1,31),'DATA INPUT'!$F$3:$F$3000,"&lt;&gt;*Exclude*"))/(COUNTIFS('DATA INPUT'!$B$3:$B$3000,'Report Tables'!AX$1,'DATA INPUT'!$A$3:$A$3000,"&gt;="&amp;DATE(2017,1,1),'DATA INPUT'!$A$3:$A$3000,"&lt;"&amp;DATE(2017,1,31),'DATA INPUT'!$F$3:$F$3000,"&lt;&gt;*Exclude*")),#N/A))</f>
        <v>#N/A</v>
      </c>
    </row>
    <row r="4" spans="1:52" ht="16.2" thickBot="1" x14ac:dyDescent="0.35">
      <c r="B4" s="62" t="s">
        <v>83</v>
      </c>
      <c r="C4" s="9">
        <v>2017</v>
      </c>
      <c r="D4" s="9">
        <v>2018</v>
      </c>
      <c r="E4" s="9">
        <v>2019</v>
      </c>
      <c r="F4" s="9">
        <v>2020</v>
      </c>
      <c r="G4" s="23">
        <v>2021</v>
      </c>
      <c r="H4" s="9">
        <v>2022</v>
      </c>
      <c r="I4" s="9">
        <v>2023</v>
      </c>
      <c r="J4" s="9">
        <v>2024</v>
      </c>
      <c r="K4" s="25">
        <v>2025</v>
      </c>
      <c r="L4" s="47" t="s">
        <v>2</v>
      </c>
      <c r="M4" s="25" t="s">
        <v>11</v>
      </c>
      <c r="O4" s="224"/>
      <c r="P4" s="225"/>
      <c r="Q4" s="225"/>
      <c r="R4" s="225"/>
      <c r="S4" s="229"/>
      <c r="T4" s="229"/>
      <c r="U4" s="229"/>
      <c r="V4" s="229"/>
      <c r="W4" s="229"/>
      <c r="X4" s="229"/>
      <c r="Y4" s="149"/>
      <c r="Z4" s="149" t="s">
        <v>13</v>
      </c>
      <c r="AA4" s="136" t="e">
        <f>IF($L$2="Yes",IF(SUMIFS('DATA INPUT'!$E$3:$E$3000,'DATA INPUT'!$B$3:$B$3000,'Report Tables'!AA$1,'DATA INPUT'!$A$3:$A$3000,"&gt;="&amp;DATE(2017,2,1),'DATA INPUT'!$A$3:$A$3000,"&lt;"&amp;DATE(2017,2,31))=0,#N/A,(SUMIFS('DATA INPUT'!$E$3:$E$3000,'DATA INPUT'!$B$3:$B$3000,'Report Tables'!AA$1,'DATA INPUT'!$A$3:$A$3000,"&gt;="&amp;DATE(2017,2,1),'DATA INPUT'!$A$3:$A$3000,"&lt;"&amp;DATE(2017,2,31)))),IF(SUMIFS('DATA INPUT'!$E$3:$E$3000,'DATA INPUT'!$B$3:$B$3000,'Report Tables'!AA$1,'DATA INPUT'!$A$3:$A$3000,"&gt;="&amp;DATE(2017,2,1),'DATA INPUT'!$A$3:$A$3000,"&lt;"&amp;DATE(2017,2,31),'DATA INPUT'!$F$3:$F$3000,"&lt;&gt;*Exclude*")=0,#N/A,(SUMIFS('DATA INPUT'!$E$3:$E$3000,'DATA INPUT'!$B$3:$B$3000,'Report Tables'!AA$1,'DATA INPUT'!$A$3:$A$3000,"&gt;="&amp;DATE(2017,2,1),'DATA INPUT'!$A$3:$A$3000,"&lt;"&amp;DATE(2017,2,31),'DATA INPUT'!$F$3:$F$3000,"&lt;&gt;*Exclude*"))))</f>
        <v>#N/A</v>
      </c>
      <c r="AB4" s="136" t="e">
        <f>IF($L$2="Yes",IF(SUMIFS('DATA INPUT'!$E$3:$E$3000,'DATA INPUT'!$B$3:$B$3000,'Report Tables'!AB$1,'DATA INPUT'!$A$3:$A$3000,"&gt;="&amp;DATE(2017,2,1),'DATA INPUT'!$A$3:$A$3000,"&lt;"&amp;DATE(2017,2,31))=0,#N/A,(SUMIFS('DATA INPUT'!$E$3:$E$3000,'DATA INPUT'!$B$3:$B$3000,'Report Tables'!AB$1,'DATA INPUT'!$A$3:$A$3000,"&gt;="&amp;DATE(2017,2,1),'DATA INPUT'!$A$3:$A$3000,"&lt;"&amp;DATE(2017,2,31)))),IF(SUMIFS('DATA INPUT'!$E$3:$E$3000,'DATA INPUT'!$B$3:$B$3000,'Report Tables'!AB$1,'DATA INPUT'!$A$3:$A$3000,"&gt;="&amp;DATE(2017,2,1),'DATA INPUT'!$A$3:$A$3000,"&lt;"&amp;DATE(2017,2,31),'DATA INPUT'!$F$3:$F$3000,"&lt;&gt;*Exclude*")=0,#N/A,(SUMIFS('DATA INPUT'!$E$3:$E$3000,'DATA INPUT'!$B$3:$B$3000,'Report Tables'!AB$1,'DATA INPUT'!$A$3:$A$3000,"&gt;="&amp;DATE(2017,2,1),'DATA INPUT'!$A$3:$A$3000,"&lt;"&amp;DATE(2017,2,31),'DATA INPUT'!$F$3:$F$3000,"&lt;&gt;*Exclude*"))))</f>
        <v>#N/A</v>
      </c>
      <c r="AC4" s="136" t="e">
        <f>IF($L$2="Yes",IF(SUMIFS('DATA INPUT'!$E$3:$E$3000,'DATA INPUT'!$B$3:$B$3000,'Report Tables'!AC$1,'DATA INPUT'!$A$3:$A$3000,"&gt;="&amp;DATE(2017,2,1),'DATA INPUT'!$A$3:$A$3000,"&lt;"&amp;DATE(2017,2,31))=0,#N/A,(SUMIFS('DATA INPUT'!$E$3:$E$3000,'DATA INPUT'!$B$3:$B$3000,'Report Tables'!AC$1,'DATA INPUT'!$A$3:$A$3000,"&gt;="&amp;DATE(2017,2,1),'DATA INPUT'!$A$3:$A$3000,"&lt;"&amp;DATE(2017,2,31)))),IF(SUMIFS('DATA INPUT'!$E$3:$E$3000,'DATA INPUT'!$B$3:$B$3000,'Report Tables'!AC$1,'DATA INPUT'!$A$3:$A$3000,"&gt;="&amp;DATE(2017,2,1),'DATA INPUT'!$A$3:$A$3000,"&lt;"&amp;DATE(2017,2,31),'DATA INPUT'!$F$3:$F$3000,"&lt;&gt;*Exclude*")=0,#N/A,(SUMIFS('DATA INPUT'!$E$3:$E$3000,'DATA INPUT'!$B$3:$B$3000,'Report Tables'!AC$1,'DATA INPUT'!$A$3:$A$3000,"&gt;="&amp;DATE(2017,2,1),'DATA INPUT'!$A$3:$A$3000,"&lt;"&amp;DATE(2017,2,31),'DATA INPUT'!$F$3:$F$3000,"&lt;&gt;*Exclude*"))))</f>
        <v>#N/A</v>
      </c>
      <c r="AD4" s="136" t="e">
        <f>IF($L$2="Yes",IF(SUMIFS('DATA INPUT'!$E$3:$E$3000,'DATA INPUT'!$B$3:$B$3000,'Report Tables'!AD$1,'DATA INPUT'!$A$3:$A$3000,"&gt;="&amp;DATE(2017,2,1),'DATA INPUT'!$A$3:$A$3000,"&lt;"&amp;DATE(2017,2,31))=0,#N/A,(SUMIFS('DATA INPUT'!$E$3:$E$3000,'DATA INPUT'!$B$3:$B$3000,'Report Tables'!AD$1,'DATA INPUT'!$A$3:$A$3000,"&gt;="&amp;DATE(2017,2,1),'DATA INPUT'!$A$3:$A$3000,"&lt;"&amp;DATE(2017,2,31)))),IF(SUMIFS('DATA INPUT'!$E$3:$E$3000,'DATA INPUT'!$B$3:$B$3000,'Report Tables'!AD$1,'DATA INPUT'!$A$3:$A$3000,"&gt;="&amp;DATE(2017,2,1),'DATA INPUT'!$A$3:$A$3000,"&lt;"&amp;DATE(2017,2,31),'DATA INPUT'!$F$3:$F$3000,"&lt;&gt;*Exclude*")=0,#N/A,(SUMIFS('DATA INPUT'!$E$3:$E$3000,'DATA INPUT'!$B$3:$B$3000,'Report Tables'!AD$1,'DATA INPUT'!$A$3:$A$3000,"&gt;="&amp;DATE(2017,2,1),'DATA INPUT'!$A$3:$A$3000,"&lt;"&amp;DATE(2017,2,31),'DATA INPUT'!$F$3:$F$3000,"&lt;&gt;*Exclude*"))))</f>
        <v>#N/A</v>
      </c>
      <c r="AE4" s="136" t="e">
        <f>IF($L$2="Yes",IF(SUMIFS('DATA INPUT'!$E$3:$E$3000,'DATA INPUT'!$B$3:$B$3000,'Report Tables'!AE$1,'DATA INPUT'!$A$3:$A$3000,"&gt;="&amp;DATE(2017,2,1),'DATA INPUT'!$A$3:$A$3000,"&lt;"&amp;DATE(2017,2,31))=0,#N/A,(SUMIFS('DATA INPUT'!$E$3:$E$3000,'DATA INPUT'!$B$3:$B$3000,'Report Tables'!AE$1,'DATA INPUT'!$A$3:$A$3000,"&gt;="&amp;DATE(2017,2,1),'DATA INPUT'!$A$3:$A$3000,"&lt;"&amp;DATE(2017,2,31)))),IF(SUMIFS('DATA INPUT'!$E$3:$E$3000,'DATA INPUT'!$B$3:$B$3000,'Report Tables'!AE$1,'DATA INPUT'!$A$3:$A$3000,"&gt;="&amp;DATE(2017,2,1),'DATA INPUT'!$A$3:$A$3000,"&lt;"&amp;DATE(2017,2,31),'DATA INPUT'!$F$3:$F$3000,"&lt;&gt;*Exclude*")=0,#N/A,(SUMIFS('DATA INPUT'!$E$3:$E$3000,'DATA INPUT'!$B$3:$B$3000,'Report Tables'!AE$1,'DATA INPUT'!$A$3:$A$3000,"&gt;="&amp;DATE(2017,2,1),'DATA INPUT'!$A$3:$A$3000,"&lt;"&amp;DATE(2017,2,31),'DATA INPUT'!$F$3:$F$3000,"&lt;&gt;*Exclude*"))))</f>
        <v>#N/A</v>
      </c>
      <c r="AF4" s="136" t="e">
        <f>IF($L$2="Yes",IF(SUMIFS('DATA INPUT'!$E$3:$E$3000,'DATA INPUT'!$B$3:$B$3000,'Report Tables'!AF$1,'DATA INPUT'!$A$3:$A$3000,"&gt;="&amp;DATE(2017,2,1),'DATA INPUT'!$A$3:$A$3000,"&lt;"&amp;DATE(2017,2,31))=0,#N/A,(SUMIFS('DATA INPUT'!$E$3:$E$3000,'DATA INPUT'!$B$3:$B$3000,'Report Tables'!AF$1,'DATA INPUT'!$A$3:$A$3000,"&gt;="&amp;DATE(2017,2,1),'DATA INPUT'!$A$3:$A$3000,"&lt;"&amp;DATE(2017,2,31)))),IF(SUMIFS('DATA INPUT'!$E$3:$E$3000,'DATA INPUT'!$B$3:$B$3000,'Report Tables'!AF$1,'DATA INPUT'!$A$3:$A$3000,"&gt;="&amp;DATE(2017,2,1),'DATA INPUT'!$A$3:$A$3000,"&lt;"&amp;DATE(2017,2,31),'DATA INPUT'!$F$3:$F$3000,"&lt;&gt;*Exclude*")=0,#N/A,(SUMIFS('DATA INPUT'!$E$3:$E$3000,'DATA INPUT'!$B$3:$B$3000,'Report Tables'!AF$1,'DATA INPUT'!$A$3:$A$3000,"&gt;="&amp;DATE(2017,2,1),'DATA INPUT'!$A$3:$A$3000,"&lt;"&amp;DATE(2017,2,31),'DATA INPUT'!$F$3:$F$3000,"&lt;&gt;*Exclude*"))))</f>
        <v>#N/A</v>
      </c>
      <c r="AG4" s="136" t="e">
        <f>IF($L$2="Yes",IF(SUMIFS('DATA INPUT'!$E$3:$E$3000,'DATA INPUT'!$B$3:$B$3000,'Report Tables'!AG$1,'DATA INPUT'!$A$3:$A$3000,"&gt;="&amp;DATE(2017,2,1),'DATA INPUT'!$A$3:$A$3000,"&lt;"&amp;DATE(2017,2,31))=0,#N/A,(SUMIFS('DATA INPUT'!$E$3:$E$3000,'DATA INPUT'!$B$3:$B$3000,'Report Tables'!AG$1,'DATA INPUT'!$A$3:$A$3000,"&gt;="&amp;DATE(2017,2,1),'DATA INPUT'!$A$3:$A$3000,"&lt;"&amp;DATE(2017,2,31)))),IF(SUMIFS('DATA INPUT'!$E$3:$E$3000,'DATA INPUT'!$B$3:$B$3000,'Report Tables'!AG$1,'DATA INPUT'!$A$3:$A$3000,"&gt;="&amp;DATE(2017,2,1),'DATA INPUT'!$A$3:$A$3000,"&lt;"&amp;DATE(2017,2,31),'DATA INPUT'!$F$3:$F$3000,"&lt;&gt;*Exclude*")=0,#N/A,(SUMIFS('DATA INPUT'!$E$3:$E$3000,'DATA INPUT'!$B$3:$B$3000,'Report Tables'!AG$1,'DATA INPUT'!$A$3:$A$3000,"&gt;="&amp;DATE(2017,2,1),'DATA INPUT'!$A$3:$A$3000,"&lt;"&amp;DATE(2017,2,31),'DATA INPUT'!$F$3:$F$3000,"&lt;&gt;*Exclude*"))))</f>
        <v>#N/A</v>
      </c>
      <c r="AH4" s="136" t="e">
        <f>IF($L$2="Yes",IF(SUMIFS('DATA INPUT'!$E$3:$E$3000,'DATA INPUT'!$B$3:$B$3000,'Report Tables'!AH$1,'DATA INPUT'!$A$3:$A$3000,"&gt;="&amp;DATE(2017,2,1),'DATA INPUT'!$A$3:$A$3000,"&lt;"&amp;DATE(2017,2,31))=0,#N/A,(SUMIFS('DATA INPUT'!$E$3:$E$3000,'DATA INPUT'!$B$3:$B$3000,'Report Tables'!AH$1,'DATA INPUT'!$A$3:$A$3000,"&gt;="&amp;DATE(2017,2,1),'DATA INPUT'!$A$3:$A$3000,"&lt;"&amp;DATE(2017,2,31)))),IF(SUMIFS('DATA INPUT'!$E$3:$E$3000,'DATA INPUT'!$B$3:$B$3000,'Report Tables'!AH$1,'DATA INPUT'!$A$3:$A$3000,"&gt;="&amp;DATE(2017,2,1),'DATA INPUT'!$A$3:$A$3000,"&lt;"&amp;DATE(2017,2,31),'DATA INPUT'!$F$3:$F$3000,"&lt;&gt;*Exclude*")=0,#N/A,(SUMIFS('DATA INPUT'!$E$3:$E$3000,'DATA INPUT'!$B$3:$B$3000,'Report Tables'!AH$1,'DATA INPUT'!$A$3:$A$3000,"&gt;="&amp;DATE(2017,2,1),'DATA INPUT'!$A$3:$A$3000,"&lt;"&amp;DATE(2017,2,31),'DATA INPUT'!$F$3:$F$3000,"&lt;&gt;*Exclude*"))))</f>
        <v>#N/A</v>
      </c>
      <c r="AI4" s="136" t="e">
        <f t="shared" ref="AI4:AI67" si="0">IF(SUMIFS(AA4:AH4,AA4:AH4,"&lt;&gt;#DIV/0!",AA4:AH4,"&lt;&gt;#n/a",$AA$2:$AH$2,"&lt;&gt;*School Service*")=0,#N/A,SUMIFS(AA4:AH4,AA4:AH4,"&lt;&gt;#DIV/0!",AA4:AH4,"&lt;&gt;#n/a",$AA$2:$AH$2,"&lt;&gt;*School Service*"))</f>
        <v>#N/A</v>
      </c>
      <c r="AJ4" s="136" t="e">
        <f>IF($L$2="Yes",IF(SUMIFS('DATA INPUT'!$D$3:$D$3000,'DATA INPUT'!$A$3:$A$3000,"&gt;="&amp;DATE(2017,2,1),'DATA INPUT'!$A$3:$A$3000,"&lt;"&amp;DATE(2017,2,31),'DATA INPUT'!$G$3:$G$3000,"&lt;&gt;*School service*")=0,#N/A,(SUMIFS('DATA INPUT'!$D$3:$D$3000,'DATA INPUT'!$A$3:$A$3000,"&gt;="&amp;DATE(2017,2,1),'DATA INPUT'!$A$3:$A$3000,"&lt;"&amp;DATE(2017,2,31),'DATA INPUT'!$G$3:$G$3000,"&lt;&gt;*School service*"))),IF(SUMIFS('DATA INPUT'!$D$3:$D$3000,'DATA INPUT'!$A$3:$A$3000,"&gt;="&amp;DATE(2017,2,1),'DATA INPUT'!$A$3:$A$3000,"&lt;"&amp;DATE(2017,2,31),'DATA INPUT'!$F$3:$F$3000,"&lt;&gt;*Exclude*",'DATA INPUT'!$G$3:$G$3000,"&lt;&gt;*School service*")=0,#N/A,(SUMIFS('DATA INPUT'!$D$3:$D$3000,'DATA INPUT'!$A$3:$A$3000,"&gt;="&amp;DATE(2017,2,1),'DATA INPUT'!$A$3:$A$3000,"&lt;"&amp;DATE(2017,2,31),'DATA INPUT'!$F$3:$F$3000,"&lt;&gt;*Exclude*",'DATA INPUT'!$G$3:$G$3000,"&lt;&gt;*School service*"))))</f>
        <v>#N/A</v>
      </c>
      <c r="AK4" s="136" t="e">
        <f>AI4-AJ4</f>
        <v>#N/A</v>
      </c>
      <c r="AM4" s="117" t="e">
        <f>IF($L$2="Yes",IFERROR((SUMIFS('DATA INPUT'!$E$3:$E$3000,'DATA INPUT'!$B$3:$B$3000,'Report Tables'!AM$1,'DATA INPUT'!$A$3:$A$3000,"&gt;="&amp;DATE(2017,2,1),'DATA INPUT'!$A$3:$A$3000,"&lt;"&amp;DATE(2017,2,31)))/COUNTIFS('DATA INPUT'!$B$3:$B$3000,'Report Tables'!AM$1,'DATA INPUT'!$A$3:$A$3000,"&gt;="&amp;DATE(2017,2,1),'DATA INPUT'!$A$3:$A$3000,"&lt;"&amp;DATE(2017,2,31)),#N/A),IFERROR((SUMIFS('DATA INPUT'!$E$3:$E$3000,'DATA INPUT'!$B$3:$B$3000,'Report Tables'!AM$1,'DATA INPUT'!$A$3:$A$3000,"&gt;="&amp;DATE(2017,2,1),'DATA INPUT'!$A$3:$A$3000,"&lt;"&amp;DATE(2017,2,31),'DATA INPUT'!$F$3:$F$3000,"&lt;&gt;*Exclude*"))/(COUNTIFS('DATA INPUT'!$B$3:$B$3000,'Report Tables'!AM$1,'DATA INPUT'!$A$3:$A$3000,"&gt;="&amp;DATE(2017,2,1),'DATA INPUT'!$A$3:$A$3000,"&lt;"&amp;DATE(2017,2,31),'DATA INPUT'!$F$3:$F$3000,"&lt;&gt;*Exclude*")),#N/A))</f>
        <v>#N/A</v>
      </c>
      <c r="AN4" s="117" t="e">
        <f>IF($L$2="Yes",IFERROR((SUMIFS('DATA INPUT'!$E$3:$E$3000,'DATA INPUT'!$B$3:$B$3000,'Report Tables'!AN$1,'DATA INPUT'!$A$3:$A$3000,"&gt;="&amp;DATE(2017,2,1),'DATA INPUT'!$A$3:$A$3000,"&lt;"&amp;DATE(2017,2,31)))/COUNTIFS('DATA INPUT'!$B$3:$B$3000,'Report Tables'!AN$1,'DATA INPUT'!$A$3:$A$3000,"&gt;="&amp;DATE(2017,2,1),'DATA INPUT'!$A$3:$A$3000,"&lt;"&amp;DATE(2017,2,31)),#N/A),IFERROR((SUMIFS('DATA INPUT'!$E$3:$E$3000,'DATA INPUT'!$B$3:$B$3000,'Report Tables'!AN$1,'DATA INPUT'!$A$3:$A$3000,"&gt;="&amp;DATE(2017,2,1),'DATA INPUT'!$A$3:$A$3000,"&lt;"&amp;DATE(2017,2,31),'DATA INPUT'!$F$3:$F$3000,"&lt;&gt;*Exclude*"))/(COUNTIFS('DATA INPUT'!$B$3:$B$3000,'Report Tables'!AN$1,'DATA INPUT'!$A$3:$A$3000,"&gt;="&amp;DATE(2017,2,1),'DATA INPUT'!$A$3:$A$3000,"&lt;"&amp;DATE(2017,2,31),'DATA INPUT'!$F$3:$F$3000,"&lt;&gt;*Exclude*")),#N/A))</f>
        <v>#N/A</v>
      </c>
      <c r="AO4" s="117" t="e">
        <f>IF($L$2="Yes",IFERROR((SUMIFS('DATA INPUT'!$E$3:$E$3000,'DATA INPUT'!$B$3:$B$3000,'Report Tables'!AO$1,'DATA INPUT'!$A$3:$A$3000,"&gt;="&amp;DATE(2017,2,1),'DATA INPUT'!$A$3:$A$3000,"&lt;"&amp;DATE(2017,2,31)))/COUNTIFS('DATA INPUT'!$B$3:$B$3000,'Report Tables'!AO$1,'DATA INPUT'!$A$3:$A$3000,"&gt;="&amp;DATE(2017,2,1),'DATA INPUT'!$A$3:$A$3000,"&lt;"&amp;DATE(2017,2,31)),#N/A),IFERROR((SUMIFS('DATA INPUT'!$E$3:$E$3000,'DATA INPUT'!$B$3:$B$3000,'Report Tables'!AO$1,'DATA INPUT'!$A$3:$A$3000,"&gt;="&amp;DATE(2017,2,1),'DATA INPUT'!$A$3:$A$3000,"&lt;"&amp;DATE(2017,2,31),'DATA INPUT'!$F$3:$F$3000,"&lt;&gt;*Exclude*"))/(COUNTIFS('DATA INPUT'!$B$3:$B$3000,'Report Tables'!AO$1,'DATA INPUT'!$A$3:$A$3000,"&gt;="&amp;DATE(2017,2,1),'DATA INPUT'!$A$3:$A$3000,"&lt;"&amp;DATE(2017,2,31),'DATA INPUT'!$F$3:$F$3000,"&lt;&gt;*Exclude*")),#N/A))</f>
        <v>#N/A</v>
      </c>
      <c r="AP4" s="117" t="e">
        <f>IF($L$2="Yes",IFERROR((SUMIFS('DATA INPUT'!$E$3:$E$3000,'DATA INPUT'!$B$3:$B$3000,'Report Tables'!AP$1,'DATA INPUT'!$A$3:$A$3000,"&gt;="&amp;DATE(2017,2,1),'DATA INPUT'!$A$3:$A$3000,"&lt;"&amp;DATE(2017,2,31)))/COUNTIFS('DATA INPUT'!$B$3:$B$3000,'Report Tables'!AP$1,'DATA INPUT'!$A$3:$A$3000,"&gt;="&amp;DATE(2017,2,1),'DATA INPUT'!$A$3:$A$3000,"&lt;"&amp;DATE(2017,2,31)),#N/A),IFERROR((SUMIFS('DATA INPUT'!$E$3:$E$3000,'DATA INPUT'!$B$3:$B$3000,'Report Tables'!AP$1,'DATA INPUT'!$A$3:$A$3000,"&gt;="&amp;DATE(2017,2,1),'DATA INPUT'!$A$3:$A$3000,"&lt;"&amp;DATE(2017,2,31),'DATA INPUT'!$F$3:$F$3000,"&lt;&gt;*Exclude*"))/(COUNTIFS('DATA INPUT'!$B$3:$B$3000,'Report Tables'!AP$1,'DATA INPUT'!$A$3:$A$3000,"&gt;="&amp;DATE(2017,2,1),'DATA INPUT'!$A$3:$A$3000,"&lt;"&amp;DATE(2017,2,31),'DATA INPUT'!$F$3:$F$3000,"&lt;&gt;*Exclude*")),#N/A))</f>
        <v>#N/A</v>
      </c>
      <c r="AQ4" s="117" t="e">
        <f>IF($L$2="Yes",IFERROR((SUMIFS('DATA INPUT'!$E$3:$E$3000,'DATA INPUT'!$B$3:$B$3000,'Report Tables'!AQ$1,'DATA INPUT'!$A$3:$A$3000,"&gt;="&amp;DATE(2017,2,1),'DATA INPUT'!$A$3:$A$3000,"&lt;"&amp;DATE(2017,2,31)))/COUNTIFS('DATA INPUT'!$B$3:$B$3000,'Report Tables'!AQ$1,'DATA INPUT'!$A$3:$A$3000,"&gt;="&amp;DATE(2017,2,1),'DATA INPUT'!$A$3:$A$3000,"&lt;"&amp;DATE(2017,2,31)),#N/A),IFERROR((SUMIFS('DATA INPUT'!$E$3:$E$3000,'DATA INPUT'!$B$3:$B$3000,'Report Tables'!AQ$1,'DATA INPUT'!$A$3:$A$3000,"&gt;="&amp;DATE(2017,2,1),'DATA INPUT'!$A$3:$A$3000,"&lt;"&amp;DATE(2017,2,31),'DATA INPUT'!$F$3:$F$3000,"&lt;&gt;*Exclude*"))/(COUNTIFS('DATA INPUT'!$B$3:$B$3000,'Report Tables'!AQ$1,'DATA INPUT'!$A$3:$A$3000,"&gt;="&amp;DATE(2017,2,1),'DATA INPUT'!$A$3:$A$3000,"&lt;"&amp;DATE(2017,2,31),'DATA INPUT'!$F$3:$F$3000,"&lt;&gt;*Exclude*")),#N/A))</f>
        <v>#N/A</v>
      </c>
      <c r="AR4" s="117" t="e">
        <f>IF($L$2="Yes",IFERROR((SUMIFS('DATA INPUT'!$E$3:$E$3000,'DATA INPUT'!$B$3:$B$3000,'Report Tables'!AR$1,'DATA INPUT'!$A$3:$A$3000,"&gt;="&amp;DATE(2017,2,1),'DATA INPUT'!$A$3:$A$3000,"&lt;"&amp;DATE(2017,2,31)))/COUNTIFS('DATA INPUT'!$B$3:$B$3000,'Report Tables'!AR$1,'DATA INPUT'!$A$3:$A$3000,"&gt;="&amp;DATE(2017,2,1),'DATA INPUT'!$A$3:$A$3000,"&lt;"&amp;DATE(2017,2,31)),#N/A),IFERROR((SUMIFS('DATA INPUT'!$E$3:$E$3000,'DATA INPUT'!$B$3:$B$3000,'Report Tables'!AR$1,'DATA INPUT'!$A$3:$A$3000,"&gt;="&amp;DATE(2017,2,1),'DATA INPUT'!$A$3:$A$3000,"&lt;"&amp;DATE(2017,2,31),'DATA INPUT'!$F$3:$F$3000,"&lt;&gt;*Exclude*"))/(COUNTIFS('DATA INPUT'!$B$3:$B$3000,'Report Tables'!AR$1,'DATA INPUT'!$A$3:$A$3000,"&gt;="&amp;DATE(2017,2,1),'DATA INPUT'!$A$3:$A$3000,"&lt;"&amp;DATE(2017,2,31),'DATA INPUT'!$F$3:$F$3000,"&lt;&gt;*Exclude*")),#N/A))</f>
        <v>#N/A</v>
      </c>
      <c r="AS4" s="117" t="e">
        <f>IF($L$2="Yes",IFERROR((SUMIFS('DATA INPUT'!$E$3:$E$3000,'DATA INPUT'!$B$3:$B$3000,'Report Tables'!AS$1,'DATA INPUT'!$A$3:$A$3000,"&gt;="&amp;DATE(2017,2,1),'DATA INPUT'!$A$3:$A$3000,"&lt;"&amp;DATE(2017,2,31)))/COUNTIFS('DATA INPUT'!$B$3:$B$3000,'Report Tables'!AS$1,'DATA INPUT'!$A$3:$A$3000,"&gt;="&amp;DATE(2017,2,1),'DATA INPUT'!$A$3:$A$3000,"&lt;"&amp;DATE(2017,2,31)),#N/A),IFERROR((SUMIFS('DATA INPUT'!$E$3:$E$3000,'DATA INPUT'!$B$3:$B$3000,'Report Tables'!AS$1,'DATA INPUT'!$A$3:$A$3000,"&gt;="&amp;DATE(2017,2,1),'DATA INPUT'!$A$3:$A$3000,"&lt;"&amp;DATE(2017,2,31),'DATA INPUT'!$F$3:$F$3000,"&lt;&gt;*Exclude*"))/(COUNTIFS('DATA INPUT'!$B$3:$B$3000,'Report Tables'!AS$1,'DATA INPUT'!$A$3:$A$3000,"&gt;="&amp;DATE(2017,2,1),'DATA INPUT'!$A$3:$A$3000,"&lt;"&amp;DATE(2017,2,31),'DATA INPUT'!$F$3:$F$3000,"&lt;&gt;*Exclude*")),#N/A))</f>
        <v>#N/A</v>
      </c>
      <c r="AT4" s="117" t="e">
        <f>IF($L$2="Yes",IFERROR((SUMIFS('DATA INPUT'!$E$3:$E$3000,'DATA INPUT'!$B$3:$B$3000,'Report Tables'!AT$1,'DATA INPUT'!$A$3:$A$3000,"&gt;="&amp;DATE(2017,2,1),'DATA INPUT'!$A$3:$A$3000,"&lt;"&amp;DATE(2017,2,31)))/COUNTIFS('DATA INPUT'!$B$3:$B$3000,'Report Tables'!AT$1,'DATA INPUT'!$A$3:$A$3000,"&gt;="&amp;DATE(2017,2,1),'DATA INPUT'!$A$3:$A$3000,"&lt;"&amp;DATE(2017,2,31)),#N/A),IFERROR((SUMIFS('DATA INPUT'!$E$3:$E$3000,'DATA INPUT'!$B$3:$B$3000,'Report Tables'!AT$1,'DATA INPUT'!$A$3:$A$3000,"&gt;="&amp;DATE(2017,2,1),'DATA INPUT'!$A$3:$A$3000,"&lt;"&amp;DATE(2017,2,31),'DATA INPUT'!$F$3:$F$3000,"&lt;&gt;*Exclude*"))/(COUNTIFS('DATA INPUT'!$B$3:$B$3000,'Report Tables'!AT$1,'DATA INPUT'!$A$3:$A$3000,"&gt;="&amp;DATE(2017,2,1),'DATA INPUT'!$A$3:$A$3000,"&lt;"&amp;DATE(2017,2,31),'DATA INPUT'!$F$3:$F$3000,"&lt;&gt;*Exclude*")),#N/A))</f>
        <v>#N/A</v>
      </c>
      <c r="AU4" s="117" t="e">
        <f t="shared" ref="AU4:AU67" si="1">IF(SUMIFS(AM4:AT4,AM4:AT4,"&lt;&gt;#DIV/0!",AM4:AT4,"&lt;&gt;#n/a",$AA$2:$AH$2,"&lt;&gt;*School Service*")=0,#N/A,SUMIFS(AM4:AT4,AM4:AT4,"&lt;&gt;#DIV/0!",AM4:AT4,"&lt;&gt;#n/a",$AA$2:$AH$2,"&lt;&gt;*School Service*"))</f>
        <v>#N/A</v>
      </c>
      <c r="AV4" s="117" t="e">
        <f>IF($L$2="Yes",IFERROR((SUMIFS('DATA INPUT'!$D$3:$D$3000,'DATA INPUT'!$A$3:$A$3000,"&gt;="&amp;DATE(2017,2,1),'DATA INPUT'!$A$3:$A$3000,"&lt;"&amp;DATE(2017,2,31),'DATA INPUT'!$G$3:$G$3000,"&lt;&gt;*School service*"))/COUNTIFS('DATA INPUT'!$A$3:$A$3000,"&gt;="&amp;DATE(2017,2,1),'DATA INPUT'!$A$3:$A$3000,"&lt;"&amp;DATE(2017,2,31),'DATA INPUT'!$G$3:$G$3000,"&lt;&gt;*School service*",'DATA INPUT'!$D$3:$D$3000,"&lt;&gt;"&amp;""),#N/A),IFERROR((SUMIFS('DATA INPUT'!$D$3:$D$3000,'DATA INPUT'!$A$3:$A$3000,"&gt;="&amp;DATE(2017,2,1),'DATA INPUT'!$A$3:$A$3000,"&lt;"&amp;DATE(2017,2,31),'DATA INPUT'!$F$3:$F$3000,"&lt;&gt;*Exclude*",'DATA INPUT'!$G$3:$G$3000,"&lt;&gt;*School service*"))/(COUNTIFS('DATA INPUT'!$A$3:$A$3000,"&gt;="&amp;DATE(2017,2,1),'DATA INPUT'!$A$3:$A$3000,"&lt;"&amp;DATE(2017,2,31),'DATA INPUT'!$F$3:$F$3000,"&lt;&gt;*Exclude*",'DATA INPUT'!$G$3:$G$3000,"&lt;&gt;*School service*",'DATA INPUT'!$D$3:$D$3000,"&lt;&gt;"&amp;"")),#N/A))</f>
        <v>#N/A</v>
      </c>
      <c r="AW4" s="117" t="e">
        <f t="shared" ref="AW4:AW67" si="2">IF(IF(ISNA(AU4),0,AU4)-IF(ISNA(AV4),0,AV4)=0,#N/A,IF(ISNA(AU4),0,AU4)-IF(ISNA(AV4),0,AV4))</f>
        <v>#N/A</v>
      </c>
      <c r="AX4" s="117" t="e">
        <f>IF($L$2="Yes",IFERROR((SUMIFS('DATA INPUT'!$E$3:$E$3000,'DATA INPUT'!$B$3:$B$3000,'Report Tables'!AX$1,'DATA INPUT'!$A$3:$A$3000,"&gt;="&amp;DATE(2017,2,1),'DATA INPUT'!$A$3:$A$3000,"&lt;"&amp;DATE(2017,2,31)))/COUNTIFS('DATA INPUT'!$B$3:$B$3000,'Report Tables'!AX$1,'DATA INPUT'!$A$3:$A$3000,"&gt;="&amp;DATE(2017,2,1),'DATA INPUT'!$A$3:$A$3000,"&lt;"&amp;DATE(2017,2,31)),#N/A),IFERROR((SUMIFS('DATA INPUT'!$E$3:$E$3000,'DATA INPUT'!$B$3:$B$3000,'Report Tables'!AX$1,'DATA INPUT'!$A$3:$A$3000,"&gt;="&amp;DATE(2017,2,1),'DATA INPUT'!$A$3:$A$3000,"&lt;"&amp;DATE(2017,2,31),'DATA INPUT'!$F$3:$F$3000,"&lt;&gt;*Exclude*"))/(COUNTIFS('DATA INPUT'!$B$3:$B$3000,'Report Tables'!AX$1,'DATA INPUT'!$A$3:$A$3000,"&gt;="&amp;DATE(2017,2,1),'DATA INPUT'!$A$3:$A$3000,"&lt;"&amp;DATE(2017,2,31),'DATA INPUT'!$F$3:$F$3000,"&lt;&gt;*Exclude*")),#N/A))</f>
        <v>#N/A</v>
      </c>
      <c r="AY4" s="117" t="e">
        <f>IF($L$2="Yes",IFERROR((SUMIFS('DATA INPUT'!$D$3:$D$3000,'DATA INPUT'!$B$3:$B$3000,'Report Tables'!AX$1,'DATA INPUT'!$A$3:$A$3000,"&gt;="&amp;DATE(2017,2,1),'DATA INPUT'!$A$3:$A$3000,"&lt;"&amp;DATE(2017,2,31)))/COUNTIFS('DATA INPUT'!$B$3:$B$3000,'Report Tables'!AX$1,'DATA INPUT'!$A$3:$A$3000,"&gt;="&amp;DATE(2017,2,1),'DATA INPUT'!$A$3:$A$3000,"&lt;"&amp;DATE(2017,2,31)),#N/A),IFERROR((SUMIFS('DATA INPUT'!$D$3:$D$3000,'DATA INPUT'!$B$3:$B$3000,'Report Tables'!AX$1,'DATA INPUT'!$A$3:$A$3000,"&gt;="&amp;DATE(2017,2,1),'DATA INPUT'!$A$3:$A$3000,"&lt;"&amp;DATE(2017,2,31),'DATA INPUT'!$F$3:$F$3000,"&lt;&gt;*Exclude*"))/(COUNTIFS('DATA INPUT'!$B$3:$B$3000,'Report Tables'!AX$1,'DATA INPUT'!$A$3:$A$3000,"&gt;="&amp;DATE(2017,2,1),'DATA INPUT'!$A$3:$A$3000,"&lt;"&amp;DATE(2017,2,31),'DATA INPUT'!$F$3:$F$3000,"&lt;&gt;*Exclude*")),#N/A))</f>
        <v>#N/A</v>
      </c>
      <c r="AZ4" s="117" t="e">
        <f>IF($L$2="Yes",IFERROR((SUMIFS('DATA INPUT'!$C$3:$C$3000,'DATA INPUT'!$B$3:$B$3000,'Report Tables'!AX$1,'DATA INPUT'!$A$3:$A$3000,"&gt;="&amp;DATE(2017,2,1),'DATA INPUT'!$A$3:$A$3000,"&lt;"&amp;DATE(2017,2,31)))/COUNTIFS('DATA INPUT'!$B$3:$B$3000,'Report Tables'!AX$1,'DATA INPUT'!$A$3:$A$3000,"&gt;="&amp;DATE(2017,2,1),'DATA INPUT'!$A$3:$A$3000,"&lt;"&amp;DATE(2017,2,31)),#N/A),IFERROR((SUMIFS('DATA INPUT'!$C$3:$C$3000,'DATA INPUT'!$B$3:$B$3000,'Report Tables'!AX$1,'DATA INPUT'!$A$3:$A$3000,"&gt;="&amp;DATE(2017,2,1),'DATA INPUT'!$A$3:$A$3000,"&lt;"&amp;DATE(2017,2,31),'DATA INPUT'!$F$3:$F$3000,"&lt;&gt;*Exclude*"))/(COUNTIFS('DATA INPUT'!$B$3:$B$3000,'Report Tables'!AX$1,'DATA INPUT'!$A$3:$A$3000,"&gt;="&amp;DATE(2017,2,1),'DATA INPUT'!$A$3:$A$3000,"&lt;"&amp;DATE(2017,2,31),'DATA INPUT'!$F$3:$F$3000,"&lt;&gt;*Exclude*")),#N/A))</f>
        <v>#N/A</v>
      </c>
    </row>
    <row r="5" spans="1:52" x14ac:dyDescent="0.3">
      <c r="A5" s="95" t="e">
        <f>VLOOKUP(B5,Information!$C$8:$F$15,4,FALSE)</f>
        <v>#N/A</v>
      </c>
      <c r="B5" s="52">
        <f>Information!C8</f>
        <v>0</v>
      </c>
      <c r="C5" s="59">
        <f>IF($L$2="Yes",(COUNTIFS('DATA INPUT'!$A$3:$A$3000,"&gt;="&amp;DATE(2017,1,1),'DATA INPUT'!$A$3:$A$3000,"&lt;="&amp;DATE(2017,12,31),'DATA INPUT'!$B$3:$B$3000,$B5)),(COUNTIFS('DATA INPUT'!$A$3:$A$3000,"&gt;="&amp;DATE(2017,1,1),'DATA INPUT'!$A$3:$A$3000,"&lt;="&amp;DATE(2017,12,31),'DATA INPUT'!$B$3:$B$3000,$B5,'DATA INPUT'!$F$3:$F$3000,"&lt;&gt;*Exclude*")))</f>
        <v>0</v>
      </c>
      <c r="D5" s="59">
        <f>IF($L$2="Yes",(COUNTIFS('DATA INPUT'!$A$3:$A$3000,"&gt;="&amp;DATE(2018,1,1),'DATA INPUT'!$A$3:$A$3000,"&lt;="&amp;DATE(2018,12,31),'DATA INPUT'!$B$3:$B$3000,$B5)),(COUNTIFS('DATA INPUT'!$A$3:$A$3000,"&gt;="&amp;DATE(2018,1,1),'DATA INPUT'!$A$3:$A$3000,"&lt;="&amp;DATE(2018,12,31),'DATA INPUT'!$B$3:$B$3000,$B5,'DATA INPUT'!$F$3:$F$3000,"&lt;&gt;*Exclude*")))</f>
        <v>0</v>
      </c>
      <c r="E5" s="59">
        <f>IF($L$2="Yes",(COUNTIFS('DATA INPUT'!$A$3:$A$3000,"&gt;="&amp;DATE(2019,1,1),'DATA INPUT'!$A$3:$A$3000,"&lt;="&amp;DATE(2019,12,31),'DATA INPUT'!$B$3:$B$3000,$B5)),(COUNTIFS('DATA INPUT'!$A$3:$A$3000,"&gt;="&amp;DATE(2019,1,1),'DATA INPUT'!$A$3:$A$3000,"&lt;="&amp;DATE(2019,12,31),'DATA INPUT'!$B$3:$B$3000,$B5,'DATA INPUT'!$F$3:$F$3000,"&lt;&gt;*Exclude*")))</f>
        <v>0</v>
      </c>
      <c r="F5" s="59">
        <f>IF($L$2="Yes",(COUNTIFS('DATA INPUT'!$A$3:$A$3000,"&gt;="&amp;DATE(2020,1,1),'DATA INPUT'!$A$3:$A$3000,"&lt;="&amp;DATE(2020,12,31),'DATA INPUT'!$B$3:$B$3000,$B5)),(COUNTIFS('DATA INPUT'!$A$3:$A$3000,"&gt;="&amp;DATE(2020,1,1),'DATA INPUT'!$A$3:$A$3000,"&lt;="&amp;DATE(2020,12,31),'DATA INPUT'!$B$3:$B$3000,$B5,'DATA INPUT'!$F$3:$F$3000,"&lt;&gt;*Exclude*")))</f>
        <v>0</v>
      </c>
      <c r="G5" s="59">
        <f>IF($L$2="Yes",(COUNTIFS('DATA INPUT'!$A$3:$A$3000,"&gt;="&amp;DATE(2021,1,1),'DATA INPUT'!$A$3:$A$3000,"&lt;="&amp;DATE(2021,12,31),'DATA INPUT'!$B$3:$B$3000,$B5)),(COUNTIFS('DATA INPUT'!$A$3:$A$3000,"&gt;="&amp;DATE(2021,1,1),'DATA INPUT'!$A$3:$A$3000,"&lt;="&amp;DATE(2021,12,31),'DATA INPUT'!$B$3:$B$3000,$B5,'DATA INPUT'!$F$3:$F$3000,"&lt;&gt;*Exclude*")))</f>
        <v>0</v>
      </c>
      <c r="H5" s="59">
        <f>IF($L$2="Yes",(COUNTIFS('DATA INPUT'!$A$3:$A$3000,"&gt;="&amp;DATE(2022,1,1),'DATA INPUT'!$A$3:$A$3000,"&lt;="&amp;DATE(2022,12,31),'DATA INPUT'!$B$3:$B$3000,$B5)),(COUNTIFS('DATA INPUT'!$A$3:$A$3000,"&gt;="&amp;DATE(2022,1,1),'DATA INPUT'!$A$3:$A$3000,"&lt;="&amp;DATE(2022,12,31),'DATA INPUT'!$B$3:$B$3000,$B5,'DATA INPUT'!$F$3:$F$3000,"&lt;&gt;*Exclude*")))</f>
        <v>0</v>
      </c>
      <c r="I5" s="59">
        <f>IF($L$2="Yes",(COUNTIFS('DATA INPUT'!$A$3:$A$3000,"&gt;="&amp;DATE(2023,1,1),'DATA INPUT'!$A$3:$A$3000,"&lt;="&amp;DATE(2023,12,31),'DATA INPUT'!$B$3:$B$3000,$B5)),(COUNTIFS('DATA INPUT'!$A$3:$A$3000,"&gt;="&amp;DATE(2023,1,1),'DATA INPUT'!$A$3:$A$3000,"&lt;="&amp;DATE(2023,12,31),'DATA INPUT'!$B$3:$B$3000,$B5,'DATA INPUT'!$F$3:$F$3000,"&lt;&gt;*Exclude*")))</f>
        <v>0</v>
      </c>
      <c r="J5" s="59">
        <f>IF($L$2="Yes",(COUNTIFS('DATA INPUT'!$A$3:$A$3000,"&gt;="&amp;DATE(2024,1,1),'DATA INPUT'!$A$3:$A$3000,"&lt;="&amp;DATE(2024,12,31),'DATA INPUT'!$B$3:$B$3000,$B5)),(COUNTIFS('DATA INPUT'!$A$3:$A$3000,"&gt;="&amp;DATE(2024,1,1),'DATA INPUT'!$A$3:$A$3000,"&lt;="&amp;DATE(2024,12,31),'DATA INPUT'!$B$3:$B$3000,$B5,'DATA INPUT'!$F$3:$F$3000,"&lt;&gt;*Exclude*")))</f>
        <v>0</v>
      </c>
      <c r="K5" s="59">
        <f>IF($L$2="Yes",(COUNTIFS('DATA INPUT'!$A$3:$A$3000,"&gt;="&amp;DATE(2025,1,1),'DATA INPUT'!$A$3:$A$3000,"&lt;="&amp;DATE(2025,12,31),'DATA INPUT'!$B$3:$B$3000,$B5)),(COUNTIFS('DATA INPUT'!$A$3:$A$3000,"&gt;="&amp;DATE(2025,1,1),'DATA INPUT'!$A$3:$A$3000,"&lt;="&amp;DATE(2025,12,31),'DATA INPUT'!$B$3:$B$3000,$B5,'DATA INPUT'!$F$3:$F$3000,"&lt;&gt;*Exclude*")))</f>
        <v>0</v>
      </c>
      <c r="L5" s="48">
        <f>SUMIFS(C5:K5,C5:K5,"&lt;&gt;#DIV/0!",C5:K5,"&lt;&gt;#n/a")</f>
        <v>0</v>
      </c>
      <c r="M5" s="49" t="str">
        <f>IFERROR(L5/(COUNTIF(C5:K5,"&gt;0")),"")</f>
        <v/>
      </c>
      <c r="O5" s="224"/>
      <c r="P5" s="225"/>
      <c r="Q5" s="225"/>
      <c r="R5" s="225"/>
      <c r="S5" s="229"/>
      <c r="T5" s="229"/>
      <c r="U5" s="229"/>
      <c r="V5" s="229"/>
      <c r="W5" s="229"/>
      <c r="X5" s="229"/>
      <c r="Y5" s="149"/>
      <c r="Z5" s="149" t="s">
        <v>14</v>
      </c>
      <c r="AA5" s="136" t="e">
        <f>IF($L$2="Yes",IF(SUMIFS('DATA INPUT'!$E$3:$E$3000,'DATA INPUT'!$B$3:$B$3000,'Report Tables'!AA$1,'DATA INPUT'!$A$3:$A$3000,"&gt;="&amp;DATE(2017,3,1),'DATA INPUT'!$A$3:$A$3000,"&lt;"&amp;DATE(2017,3,31))=0,#N/A,(SUMIFS('DATA INPUT'!$E$3:$E$3000,'DATA INPUT'!$B$3:$B$3000,'Report Tables'!AA$1,'DATA INPUT'!$A$3:$A$3000,"&gt;="&amp;DATE(2017,3,1),'DATA INPUT'!$A$3:$A$3000,"&lt;"&amp;DATE(2017,3,31)))),IF(SUMIFS('DATA INPUT'!$E$3:$E$3000,'DATA INPUT'!$B$3:$B$3000,'Report Tables'!AA$1,'DATA INPUT'!$A$3:$A$3000,"&gt;="&amp;DATE(2017,3,1),'DATA INPUT'!$A$3:$A$3000,"&lt;"&amp;DATE(2017,3,31),'DATA INPUT'!$F$3:$F$3000,"&lt;&gt;*Exclude*")=0,#N/A,(SUMIFS('DATA INPUT'!$E$3:$E$3000,'DATA INPUT'!$B$3:$B$3000,'Report Tables'!AA$1,'DATA INPUT'!$A$3:$A$3000,"&gt;="&amp;DATE(2017,3,1),'DATA INPUT'!$A$3:$A$3000,"&lt;"&amp;DATE(2017,3,31),'DATA INPUT'!$F$3:$F$3000,"&lt;&gt;*Exclude*"))))</f>
        <v>#N/A</v>
      </c>
      <c r="AB5" s="136" t="e">
        <f>IF($L$2="Yes",IF(SUMIFS('DATA INPUT'!$E$3:$E$3000,'DATA INPUT'!$B$3:$B$3000,'Report Tables'!AB$1,'DATA INPUT'!$A$3:$A$3000,"&gt;="&amp;DATE(2017,3,1),'DATA INPUT'!$A$3:$A$3000,"&lt;"&amp;DATE(2017,3,31))=0,#N/A,(SUMIFS('DATA INPUT'!$E$3:$E$3000,'DATA INPUT'!$B$3:$B$3000,'Report Tables'!AB$1,'DATA INPUT'!$A$3:$A$3000,"&gt;="&amp;DATE(2017,3,1),'DATA INPUT'!$A$3:$A$3000,"&lt;"&amp;DATE(2017,3,31)))),IF(SUMIFS('DATA INPUT'!$E$3:$E$3000,'DATA INPUT'!$B$3:$B$3000,'Report Tables'!AB$1,'DATA INPUT'!$A$3:$A$3000,"&gt;="&amp;DATE(2017,3,1),'DATA INPUT'!$A$3:$A$3000,"&lt;"&amp;DATE(2017,3,31),'DATA INPUT'!$F$3:$F$3000,"&lt;&gt;*Exclude*")=0,#N/A,(SUMIFS('DATA INPUT'!$E$3:$E$3000,'DATA INPUT'!$B$3:$B$3000,'Report Tables'!AB$1,'DATA INPUT'!$A$3:$A$3000,"&gt;="&amp;DATE(2017,3,1),'DATA INPUT'!$A$3:$A$3000,"&lt;"&amp;DATE(2017,3,31),'DATA INPUT'!$F$3:$F$3000,"&lt;&gt;*Exclude*"))))</f>
        <v>#N/A</v>
      </c>
      <c r="AC5" s="136" t="e">
        <f>IF($L$2="Yes",IF(SUMIFS('DATA INPUT'!$E$3:$E$3000,'DATA INPUT'!$B$3:$B$3000,'Report Tables'!AC$1,'DATA INPUT'!$A$3:$A$3000,"&gt;="&amp;DATE(2017,3,1),'DATA INPUT'!$A$3:$A$3000,"&lt;"&amp;DATE(2017,3,31))=0,#N/A,(SUMIFS('DATA INPUT'!$E$3:$E$3000,'DATA INPUT'!$B$3:$B$3000,'Report Tables'!AC$1,'DATA INPUT'!$A$3:$A$3000,"&gt;="&amp;DATE(2017,3,1),'DATA INPUT'!$A$3:$A$3000,"&lt;"&amp;DATE(2017,3,31)))),IF(SUMIFS('DATA INPUT'!$E$3:$E$3000,'DATA INPUT'!$B$3:$B$3000,'Report Tables'!AC$1,'DATA INPUT'!$A$3:$A$3000,"&gt;="&amp;DATE(2017,3,1),'DATA INPUT'!$A$3:$A$3000,"&lt;"&amp;DATE(2017,3,31),'DATA INPUT'!$F$3:$F$3000,"&lt;&gt;*Exclude*")=0,#N/A,(SUMIFS('DATA INPUT'!$E$3:$E$3000,'DATA INPUT'!$B$3:$B$3000,'Report Tables'!AC$1,'DATA INPUT'!$A$3:$A$3000,"&gt;="&amp;DATE(2017,3,1),'DATA INPUT'!$A$3:$A$3000,"&lt;"&amp;DATE(2017,3,31),'DATA INPUT'!$F$3:$F$3000,"&lt;&gt;*Exclude*"))))</f>
        <v>#N/A</v>
      </c>
      <c r="AD5" s="136" t="e">
        <f>IF($L$2="Yes",IF(SUMIFS('DATA INPUT'!$E$3:$E$3000,'DATA INPUT'!$B$3:$B$3000,'Report Tables'!AD$1,'DATA INPUT'!$A$3:$A$3000,"&gt;="&amp;DATE(2017,3,1),'DATA INPUT'!$A$3:$A$3000,"&lt;"&amp;DATE(2017,3,31))=0,#N/A,(SUMIFS('DATA INPUT'!$E$3:$E$3000,'DATA INPUT'!$B$3:$B$3000,'Report Tables'!AD$1,'DATA INPUT'!$A$3:$A$3000,"&gt;="&amp;DATE(2017,3,1),'DATA INPUT'!$A$3:$A$3000,"&lt;"&amp;DATE(2017,3,31)))),IF(SUMIFS('DATA INPUT'!$E$3:$E$3000,'DATA INPUT'!$B$3:$B$3000,'Report Tables'!AD$1,'DATA INPUT'!$A$3:$A$3000,"&gt;="&amp;DATE(2017,3,1),'DATA INPUT'!$A$3:$A$3000,"&lt;"&amp;DATE(2017,3,31),'DATA INPUT'!$F$3:$F$3000,"&lt;&gt;*Exclude*")=0,#N/A,(SUMIFS('DATA INPUT'!$E$3:$E$3000,'DATA INPUT'!$B$3:$B$3000,'Report Tables'!AD$1,'DATA INPUT'!$A$3:$A$3000,"&gt;="&amp;DATE(2017,3,1),'DATA INPUT'!$A$3:$A$3000,"&lt;"&amp;DATE(2017,3,31),'DATA INPUT'!$F$3:$F$3000,"&lt;&gt;*Exclude*"))))</f>
        <v>#N/A</v>
      </c>
      <c r="AE5" s="136" t="e">
        <f>IF($L$2="Yes",IF(SUMIFS('DATA INPUT'!$E$3:$E$3000,'DATA INPUT'!$B$3:$B$3000,'Report Tables'!AE$1,'DATA INPUT'!$A$3:$A$3000,"&gt;="&amp;DATE(2017,3,1),'DATA INPUT'!$A$3:$A$3000,"&lt;"&amp;DATE(2017,3,31))=0,#N/A,(SUMIFS('DATA INPUT'!$E$3:$E$3000,'DATA INPUT'!$B$3:$B$3000,'Report Tables'!AE$1,'DATA INPUT'!$A$3:$A$3000,"&gt;="&amp;DATE(2017,3,1),'DATA INPUT'!$A$3:$A$3000,"&lt;"&amp;DATE(2017,3,31)))),IF(SUMIFS('DATA INPUT'!$E$3:$E$3000,'DATA INPUT'!$B$3:$B$3000,'Report Tables'!AE$1,'DATA INPUT'!$A$3:$A$3000,"&gt;="&amp;DATE(2017,3,1),'DATA INPUT'!$A$3:$A$3000,"&lt;"&amp;DATE(2017,3,31),'DATA INPUT'!$F$3:$F$3000,"&lt;&gt;*Exclude*")=0,#N/A,(SUMIFS('DATA INPUT'!$E$3:$E$3000,'DATA INPUT'!$B$3:$B$3000,'Report Tables'!AE$1,'DATA INPUT'!$A$3:$A$3000,"&gt;="&amp;DATE(2017,3,1),'DATA INPUT'!$A$3:$A$3000,"&lt;"&amp;DATE(2017,3,31),'DATA INPUT'!$F$3:$F$3000,"&lt;&gt;*Exclude*"))))</f>
        <v>#N/A</v>
      </c>
      <c r="AF5" s="136" t="e">
        <f>IF($L$2="Yes",IF(SUMIFS('DATA INPUT'!$E$3:$E$3000,'DATA INPUT'!$B$3:$B$3000,'Report Tables'!AF$1,'DATA INPUT'!$A$3:$A$3000,"&gt;="&amp;DATE(2017,3,1),'DATA INPUT'!$A$3:$A$3000,"&lt;"&amp;DATE(2017,3,31))=0,#N/A,(SUMIFS('DATA INPUT'!$E$3:$E$3000,'DATA INPUT'!$B$3:$B$3000,'Report Tables'!AF$1,'DATA INPUT'!$A$3:$A$3000,"&gt;="&amp;DATE(2017,3,1),'DATA INPUT'!$A$3:$A$3000,"&lt;"&amp;DATE(2017,3,31)))),IF(SUMIFS('DATA INPUT'!$E$3:$E$3000,'DATA INPUT'!$B$3:$B$3000,'Report Tables'!AF$1,'DATA INPUT'!$A$3:$A$3000,"&gt;="&amp;DATE(2017,3,1),'DATA INPUT'!$A$3:$A$3000,"&lt;"&amp;DATE(2017,3,31),'DATA INPUT'!$F$3:$F$3000,"&lt;&gt;*Exclude*")=0,#N/A,(SUMIFS('DATA INPUT'!$E$3:$E$3000,'DATA INPUT'!$B$3:$B$3000,'Report Tables'!AF$1,'DATA INPUT'!$A$3:$A$3000,"&gt;="&amp;DATE(2017,3,1),'DATA INPUT'!$A$3:$A$3000,"&lt;"&amp;DATE(2017,3,31),'DATA INPUT'!$F$3:$F$3000,"&lt;&gt;*Exclude*"))))</f>
        <v>#N/A</v>
      </c>
      <c r="AG5" s="136" t="e">
        <f>IF($L$2="Yes",IF(SUMIFS('DATA INPUT'!$E$3:$E$3000,'DATA INPUT'!$B$3:$B$3000,'Report Tables'!AG$1,'DATA INPUT'!$A$3:$A$3000,"&gt;="&amp;DATE(2017,3,1),'DATA INPUT'!$A$3:$A$3000,"&lt;"&amp;DATE(2017,3,31))=0,#N/A,(SUMIFS('DATA INPUT'!$E$3:$E$3000,'DATA INPUT'!$B$3:$B$3000,'Report Tables'!AG$1,'DATA INPUT'!$A$3:$A$3000,"&gt;="&amp;DATE(2017,3,1),'DATA INPUT'!$A$3:$A$3000,"&lt;"&amp;DATE(2017,3,31)))),IF(SUMIFS('DATA INPUT'!$E$3:$E$3000,'DATA INPUT'!$B$3:$B$3000,'Report Tables'!AG$1,'DATA INPUT'!$A$3:$A$3000,"&gt;="&amp;DATE(2017,3,1),'DATA INPUT'!$A$3:$A$3000,"&lt;"&amp;DATE(2017,3,31),'DATA INPUT'!$F$3:$F$3000,"&lt;&gt;*Exclude*")=0,#N/A,(SUMIFS('DATA INPUT'!$E$3:$E$3000,'DATA INPUT'!$B$3:$B$3000,'Report Tables'!AG$1,'DATA INPUT'!$A$3:$A$3000,"&gt;="&amp;DATE(2017,3,1),'DATA INPUT'!$A$3:$A$3000,"&lt;"&amp;DATE(2017,3,31),'DATA INPUT'!$F$3:$F$3000,"&lt;&gt;*Exclude*"))))</f>
        <v>#N/A</v>
      </c>
      <c r="AH5" s="136" t="e">
        <f>IF($L$2="Yes",IF(SUMIFS('DATA INPUT'!$E$3:$E$3000,'DATA INPUT'!$B$3:$B$3000,'Report Tables'!AH$1,'DATA INPUT'!$A$3:$A$3000,"&gt;="&amp;DATE(2017,3,1),'DATA INPUT'!$A$3:$A$3000,"&lt;"&amp;DATE(2017,3,31))=0,#N/A,(SUMIFS('DATA INPUT'!$E$3:$E$3000,'DATA INPUT'!$B$3:$B$3000,'Report Tables'!AH$1,'DATA INPUT'!$A$3:$A$3000,"&gt;="&amp;DATE(2017,3,1),'DATA INPUT'!$A$3:$A$3000,"&lt;"&amp;DATE(2017,3,31)))),IF(SUMIFS('DATA INPUT'!$E$3:$E$3000,'DATA INPUT'!$B$3:$B$3000,'Report Tables'!AH$1,'DATA INPUT'!$A$3:$A$3000,"&gt;="&amp;DATE(2017,3,1),'DATA INPUT'!$A$3:$A$3000,"&lt;"&amp;DATE(2017,3,31),'DATA INPUT'!$F$3:$F$3000,"&lt;&gt;*Exclude*")=0,#N/A,(SUMIFS('DATA INPUT'!$E$3:$E$3000,'DATA INPUT'!$B$3:$B$3000,'Report Tables'!AH$1,'DATA INPUT'!$A$3:$A$3000,"&gt;="&amp;DATE(2017,3,1),'DATA INPUT'!$A$3:$A$3000,"&lt;"&amp;DATE(2017,3,31),'DATA INPUT'!$F$3:$F$3000,"&lt;&gt;*Exclude*"))))</f>
        <v>#N/A</v>
      </c>
      <c r="AI5" s="136" t="e">
        <f t="shared" si="0"/>
        <v>#N/A</v>
      </c>
      <c r="AJ5" s="136" t="e">
        <f>IF($L$2="Yes",IF(SUMIFS('DATA INPUT'!$D$3:$D$3000,'DATA INPUT'!$A$3:$A$3000,"&gt;="&amp;DATE(2017,3,1),'DATA INPUT'!$A$3:$A$3000,"&lt;"&amp;DATE(2017,3,31),'DATA INPUT'!$G$3:$G$3000,"&lt;&gt;*School service*")=0,#N/A,(SUMIFS('DATA INPUT'!$D$3:$D$3000,'DATA INPUT'!$A$3:$A$3000,"&gt;="&amp;DATE(2017,3,1),'DATA INPUT'!$A$3:$A$3000,"&lt;"&amp;DATE(2017,3,31),'DATA INPUT'!$G$3:$G$3000,"&lt;&gt;*School service*"))),IF(SUMIFS('DATA INPUT'!$D$3:$D$3000,'DATA INPUT'!$A$3:$A$3000,"&gt;="&amp;DATE(2017,3,1),'DATA INPUT'!$A$3:$A$3000,"&lt;"&amp;DATE(2017,3,31),'DATA INPUT'!$F$3:$F$3000,"&lt;&gt;*Exclude*",'DATA INPUT'!$G$3:$G$3000,"&lt;&gt;*School service*")=0,#N/A,(SUMIFS('DATA INPUT'!$D$3:$D$3000,'DATA INPUT'!$A$3:$A$3000,"&gt;="&amp;DATE(2017,3,1),'DATA INPUT'!$A$3:$A$3000,"&lt;"&amp;DATE(2017,3,31),'DATA INPUT'!$F$3:$F$3000,"&lt;&gt;*Exclude*",'DATA INPUT'!$G$3:$G$3000,"&lt;&gt;*School service*"))))</f>
        <v>#N/A</v>
      </c>
      <c r="AK5" s="136" t="e">
        <f>AI5-AJ5</f>
        <v>#N/A</v>
      </c>
      <c r="AM5" s="117" t="e">
        <f>IF($L$2="Yes",IFERROR((SUMIFS('DATA INPUT'!$E$3:$E$3000,'DATA INPUT'!$B$3:$B$3000,'Report Tables'!AM$1,'DATA INPUT'!$A$3:$A$3000,"&gt;="&amp;DATE(2017,3,1),'DATA INPUT'!$A$3:$A$3000,"&lt;"&amp;DATE(2017,3,31)))/COUNTIFS('DATA INPUT'!$B$3:$B$3000,'Report Tables'!AM$1,'DATA INPUT'!$A$3:$A$3000,"&gt;="&amp;DATE(2017,3,1),'DATA INPUT'!$A$3:$A$3000,"&lt;"&amp;DATE(2017,3,31)),#N/A),IFERROR((SUMIFS('DATA INPUT'!$E$3:$E$3000,'DATA INPUT'!$B$3:$B$3000,'Report Tables'!AM$1,'DATA INPUT'!$A$3:$A$3000,"&gt;="&amp;DATE(2017,3,1),'DATA INPUT'!$A$3:$A$3000,"&lt;"&amp;DATE(2017,3,31),'DATA INPUT'!$F$3:$F$3000,"&lt;&gt;*Exclude*"))/(COUNTIFS('DATA INPUT'!$B$3:$B$3000,'Report Tables'!AM$1,'DATA INPUT'!$A$3:$A$3000,"&gt;="&amp;DATE(2017,3,1),'DATA INPUT'!$A$3:$A$3000,"&lt;"&amp;DATE(2017,3,31),'DATA INPUT'!$F$3:$F$3000,"&lt;&gt;*Exclude*")),#N/A))</f>
        <v>#N/A</v>
      </c>
      <c r="AN5" s="117" t="e">
        <f>IF($L$2="Yes",IFERROR((SUMIFS('DATA INPUT'!$E$3:$E$3000,'DATA INPUT'!$B$3:$B$3000,'Report Tables'!AN$1,'DATA INPUT'!$A$3:$A$3000,"&gt;="&amp;DATE(2017,3,1),'DATA INPUT'!$A$3:$A$3000,"&lt;"&amp;DATE(2017,3,31)))/COUNTIFS('DATA INPUT'!$B$3:$B$3000,'Report Tables'!AN$1,'DATA INPUT'!$A$3:$A$3000,"&gt;="&amp;DATE(2017,3,1),'DATA INPUT'!$A$3:$A$3000,"&lt;"&amp;DATE(2017,3,31)),#N/A),IFERROR((SUMIFS('DATA INPUT'!$E$3:$E$3000,'DATA INPUT'!$B$3:$B$3000,'Report Tables'!AN$1,'DATA INPUT'!$A$3:$A$3000,"&gt;="&amp;DATE(2017,3,1),'DATA INPUT'!$A$3:$A$3000,"&lt;"&amp;DATE(2017,3,31),'DATA INPUT'!$F$3:$F$3000,"&lt;&gt;*Exclude*"))/(COUNTIFS('DATA INPUT'!$B$3:$B$3000,'Report Tables'!AN$1,'DATA INPUT'!$A$3:$A$3000,"&gt;="&amp;DATE(2017,3,1),'DATA INPUT'!$A$3:$A$3000,"&lt;"&amp;DATE(2017,3,31),'DATA INPUT'!$F$3:$F$3000,"&lt;&gt;*Exclude*")),#N/A))</f>
        <v>#N/A</v>
      </c>
      <c r="AO5" s="117" t="e">
        <f>IF($L$2="Yes",IFERROR((SUMIFS('DATA INPUT'!$E$3:$E$3000,'DATA INPUT'!$B$3:$B$3000,'Report Tables'!AO$1,'DATA INPUT'!$A$3:$A$3000,"&gt;="&amp;DATE(2017,3,1),'DATA INPUT'!$A$3:$A$3000,"&lt;"&amp;DATE(2017,3,31)))/COUNTIFS('DATA INPUT'!$B$3:$B$3000,'Report Tables'!AO$1,'DATA INPUT'!$A$3:$A$3000,"&gt;="&amp;DATE(2017,3,1),'DATA INPUT'!$A$3:$A$3000,"&lt;"&amp;DATE(2017,3,31)),#N/A),IFERROR((SUMIFS('DATA INPUT'!$E$3:$E$3000,'DATA INPUT'!$B$3:$B$3000,'Report Tables'!AO$1,'DATA INPUT'!$A$3:$A$3000,"&gt;="&amp;DATE(2017,3,1),'DATA INPUT'!$A$3:$A$3000,"&lt;"&amp;DATE(2017,3,31),'DATA INPUT'!$F$3:$F$3000,"&lt;&gt;*Exclude*"))/(COUNTIFS('DATA INPUT'!$B$3:$B$3000,'Report Tables'!AO$1,'DATA INPUT'!$A$3:$A$3000,"&gt;="&amp;DATE(2017,3,1),'DATA INPUT'!$A$3:$A$3000,"&lt;"&amp;DATE(2017,3,31),'DATA INPUT'!$F$3:$F$3000,"&lt;&gt;*Exclude*")),#N/A))</f>
        <v>#N/A</v>
      </c>
      <c r="AP5" s="117" t="e">
        <f>IF($L$2="Yes",IFERROR((SUMIFS('DATA INPUT'!$E$3:$E$3000,'DATA INPUT'!$B$3:$B$3000,'Report Tables'!AP$1,'DATA INPUT'!$A$3:$A$3000,"&gt;="&amp;DATE(2017,3,1),'DATA INPUT'!$A$3:$A$3000,"&lt;"&amp;DATE(2017,3,31)))/COUNTIFS('DATA INPUT'!$B$3:$B$3000,'Report Tables'!AP$1,'DATA INPUT'!$A$3:$A$3000,"&gt;="&amp;DATE(2017,3,1),'DATA INPUT'!$A$3:$A$3000,"&lt;"&amp;DATE(2017,3,31)),#N/A),IFERROR((SUMIFS('DATA INPUT'!$E$3:$E$3000,'DATA INPUT'!$B$3:$B$3000,'Report Tables'!AP$1,'DATA INPUT'!$A$3:$A$3000,"&gt;="&amp;DATE(2017,3,1),'DATA INPUT'!$A$3:$A$3000,"&lt;"&amp;DATE(2017,3,31),'DATA INPUT'!$F$3:$F$3000,"&lt;&gt;*Exclude*"))/(COUNTIFS('DATA INPUT'!$B$3:$B$3000,'Report Tables'!AP$1,'DATA INPUT'!$A$3:$A$3000,"&gt;="&amp;DATE(2017,3,1),'DATA INPUT'!$A$3:$A$3000,"&lt;"&amp;DATE(2017,3,31),'DATA INPUT'!$F$3:$F$3000,"&lt;&gt;*Exclude*")),#N/A))</f>
        <v>#N/A</v>
      </c>
      <c r="AQ5" s="117" t="e">
        <f>IF($L$2="Yes",IFERROR((SUMIFS('DATA INPUT'!$E$3:$E$3000,'DATA INPUT'!$B$3:$B$3000,'Report Tables'!AQ$1,'DATA INPUT'!$A$3:$A$3000,"&gt;="&amp;DATE(2017,3,1),'DATA INPUT'!$A$3:$A$3000,"&lt;"&amp;DATE(2017,3,31)))/COUNTIFS('DATA INPUT'!$B$3:$B$3000,'Report Tables'!AQ$1,'DATA INPUT'!$A$3:$A$3000,"&gt;="&amp;DATE(2017,3,1),'DATA INPUT'!$A$3:$A$3000,"&lt;"&amp;DATE(2017,3,31)),#N/A),IFERROR((SUMIFS('DATA INPUT'!$E$3:$E$3000,'DATA INPUT'!$B$3:$B$3000,'Report Tables'!AQ$1,'DATA INPUT'!$A$3:$A$3000,"&gt;="&amp;DATE(2017,3,1),'DATA INPUT'!$A$3:$A$3000,"&lt;"&amp;DATE(2017,3,31),'DATA INPUT'!$F$3:$F$3000,"&lt;&gt;*Exclude*"))/(COUNTIFS('DATA INPUT'!$B$3:$B$3000,'Report Tables'!AQ$1,'DATA INPUT'!$A$3:$A$3000,"&gt;="&amp;DATE(2017,3,1),'DATA INPUT'!$A$3:$A$3000,"&lt;"&amp;DATE(2017,3,31),'DATA INPUT'!$F$3:$F$3000,"&lt;&gt;*Exclude*")),#N/A))</f>
        <v>#N/A</v>
      </c>
      <c r="AR5" s="117" t="e">
        <f>IF($L$2="Yes",IFERROR((SUMIFS('DATA INPUT'!$E$3:$E$3000,'DATA INPUT'!$B$3:$B$3000,'Report Tables'!AR$1,'DATA INPUT'!$A$3:$A$3000,"&gt;="&amp;DATE(2017,3,1),'DATA INPUT'!$A$3:$A$3000,"&lt;"&amp;DATE(2017,3,31)))/COUNTIFS('DATA INPUT'!$B$3:$B$3000,'Report Tables'!AR$1,'DATA INPUT'!$A$3:$A$3000,"&gt;="&amp;DATE(2017,3,1),'DATA INPUT'!$A$3:$A$3000,"&lt;"&amp;DATE(2017,3,31)),#N/A),IFERROR((SUMIFS('DATA INPUT'!$E$3:$E$3000,'DATA INPUT'!$B$3:$B$3000,'Report Tables'!AR$1,'DATA INPUT'!$A$3:$A$3000,"&gt;="&amp;DATE(2017,3,1),'DATA INPUT'!$A$3:$A$3000,"&lt;"&amp;DATE(2017,3,31),'DATA INPUT'!$F$3:$F$3000,"&lt;&gt;*Exclude*"))/(COUNTIFS('DATA INPUT'!$B$3:$B$3000,'Report Tables'!AR$1,'DATA INPUT'!$A$3:$A$3000,"&gt;="&amp;DATE(2017,3,1),'DATA INPUT'!$A$3:$A$3000,"&lt;"&amp;DATE(2017,3,31),'DATA INPUT'!$F$3:$F$3000,"&lt;&gt;*Exclude*")),#N/A))</f>
        <v>#N/A</v>
      </c>
      <c r="AS5" s="117" t="e">
        <f>IF($L$2="Yes",IFERROR((SUMIFS('DATA INPUT'!$E$3:$E$3000,'DATA INPUT'!$B$3:$B$3000,'Report Tables'!AS$1,'DATA INPUT'!$A$3:$A$3000,"&gt;="&amp;DATE(2017,3,1),'DATA INPUT'!$A$3:$A$3000,"&lt;"&amp;DATE(2017,3,31)))/COUNTIFS('DATA INPUT'!$B$3:$B$3000,'Report Tables'!AS$1,'DATA INPUT'!$A$3:$A$3000,"&gt;="&amp;DATE(2017,3,1),'DATA INPUT'!$A$3:$A$3000,"&lt;"&amp;DATE(2017,3,31)),#N/A),IFERROR((SUMIFS('DATA INPUT'!$E$3:$E$3000,'DATA INPUT'!$B$3:$B$3000,'Report Tables'!AS$1,'DATA INPUT'!$A$3:$A$3000,"&gt;="&amp;DATE(2017,3,1),'DATA INPUT'!$A$3:$A$3000,"&lt;"&amp;DATE(2017,3,31),'DATA INPUT'!$F$3:$F$3000,"&lt;&gt;*Exclude*"))/(COUNTIFS('DATA INPUT'!$B$3:$B$3000,'Report Tables'!AS$1,'DATA INPUT'!$A$3:$A$3000,"&gt;="&amp;DATE(2017,3,1),'DATA INPUT'!$A$3:$A$3000,"&lt;"&amp;DATE(2017,3,31),'DATA INPUT'!$F$3:$F$3000,"&lt;&gt;*Exclude*")),#N/A))</f>
        <v>#N/A</v>
      </c>
      <c r="AT5" s="117" t="e">
        <f>IF($L$2="Yes",IFERROR((SUMIFS('DATA INPUT'!$E$3:$E$3000,'DATA INPUT'!$B$3:$B$3000,'Report Tables'!AT$1,'DATA INPUT'!$A$3:$A$3000,"&gt;="&amp;DATE(2017,3,1),'DATA INPUT'!$A$3:$A$3000,"&lt;"&amp;DATE(2017,3,31)))/COUNTIFS('DATA INPUT'!$B$3:$B$3000,'Report Tables'!AT$1,'DATA INPUT'!$A$3:$A$3000,"&gt;="&amp;DATE(2017,3,1),'DATA INPUT'!$A$3:$A$3000,"&lt;"&amp;DATE(2017,3,31)),#N/A),IFERROR((SUMIFS('DATA INPUT'!$E$3:$E$3000,'DATA INPUT'!$B$3:$B$3000,'Report Tables'!AT$1,'DATA INPUT'!$A$3:$A$3000,"&gt;="&amp;DATE(2017,3,1),'DATA INPUT'!$A$3:$A$3000,"&lt;"&amp;DATE(2017,3,31),'DATA INPUT'!$F$3:$F$3000,"&lt;&gt;*Exclude*"))/(COUNTIFS('DATA INPUT'!$B$3:$B$3000,'Report Tables'!AT$1,'DATA INPUT'!$A$3:$A$3000,"&gt;="&amp;DATE(2017,3,1),'DATA INPUT'!$A$3:$A$3000,"&lt;"&amp;DATE(2017,3,31),'DATA INPUT'!$F$3:$F$3000,"&lt;&gt;*Exclude*")),#N/A))</f>
        <v>#N/A</v>
      </c>
      <c r="AU5" s="117" t="e">
        <f t="shared" si="1"/>
        <v>#N/A</v>
      </c>
      <c r="AV5" s="117" t="e">
        <f>IF($L$2="Yes",IFERROR((SUMIFS('DATA INPUT'!$D$3:$D$3000,'DATA INPUT'!$A$3:$A$3000,"&gt;="&amp;DATE(2017,3,1),'DATA INPUT'!$A$3:$A$3000,"&lt;"&amp;DATE(2017,3,31),'DATA INPUT'!$G$3:$G$3000,"&lt;&gt;*School service*"))/COUNTIFS('DATA INPUT'!$A$3:$A$3000,"&gt;="&amp;DATE(2017,3,1),'DATA INPUT'!$A$3:$A$3000,"&lt;"&amp;DATE(2017,3,31),'DATA INPUT'!$G$3:$G$3000,"&lt;&gt;*School service*",'DATA INPUT'!$D$3:$D$3000,"&lt;&gt;"&amp;""),#N/A),IFERROR((SUMIFS('DATA INPUT'!$D$3:$D$3000,'DATA INPUT'!$A$3:$A$3000,"&gt;="&amp;DATE(2017,3,1),'DATA INPUT'!$A$3:$A$3000,"&lt;"&amp;DATE(2017,3,31),'DATA INPUT'!$F$3:$F$3000,"&lt;&gt;*Exclude*",'DATA INPUT'!$G$3:$G$3000,"&lt;&gt;*School service*"))/(COUNTIFS('DATA INPUT'!$A$3:$A$3000,"&gt;="&amp;DATE(2017,3,1),'DATA INPUT'!$A$3:$A$3000,"&lt;"&amp;DATE(2017,3,31),'DATA INPUT'!$F$3:$F$3000,"&lt;&gt;*Exclude*",'DATA INPUT'!$G$3:$G$3000,"&lt;&gt;*School service*",'DATA INPUT'!$D$3:$D$3000,"&lt;&gt;"&amp;"")),#N/A))</f>
        <v>#N/A</v>
      </c>
      <c r="AW5" s="117" t="e">
        <f t="shared" si="2"/>
        <v>#N/A</v>
      </c>
      <c r="AX5" s="117" t="e">
        <f>IF($L$2="Yes",IFERROR((SUMIFS('DATA INPUT'!$E$3:$E$3000,'DATA INPUT'!$B$3:$B$3000,'Report Tables'!AX$1,'DATA INPUT'!$A$3:$A$3000,"&gt;="&amp;DATE(2017,3,1),'DATA INPUT'!$A$3:$A$3000,"&lt;"&amp;DATE(2017,3,31)))/COUNTIFS('DATA INPUT'!$B$3:$B$3000,'Report Tables'!AX$1,'DATA INPUT'!$A$3:$A$3000,"&gt;="&amp;DATE(2017,3,1),'DATA INPUT'!$A$3:$A$3000,"&lt;"&amp;DATE(2017,3,31)),#N/A),IFERROR((SUMIFS('DATA INPUT'!$E$3:$E$3000,'DATA INPUT'!$B$3:$B$3000,'Report Tables'!AX$1,'DATA INPUT'!$A$3:$A$3000,"&gt;="&amp;DATE(2017,3,1),'DATA INPUT'!$A$3:$A$3000,"&lt;"&amp;DATE(2017,3,31),'DATA INPUT'!$F$3:$F$3000,"&lt;&gt;*Exclude*"))/(COUNTIFS('DATA INPUT'!$B$3:$B$3000,'Report Tables'!AX$1,'DATA INPUT'!$A$3:$A$3000,"&gt;="&amp;DATE(2017,3,1),'DATA INPUT'!$A$3:$A$3000,"&lt;"&amp;DATE(2017,3,31),'DATA INPUT'!$F$3:$F$3000,"&lt;&gt;*Exclude*")),#N/A))</f>
        <v>#N/A</v>
      </c>
      <c r="AY5" s="117" t="e">
        <f>IF($L$2="Yes",IFERROR((SUMIFS('DATA INPUT'!$D$3:$D$3000,'DATA INPUT'!$B$3:$B$3000,'Report Tables'!AX$1,'DATA INPUT'!$A$3:$A$3000,"&gt;="&amp;DATE(2017,3,1),'DATA INPUT'!$A$3:$A$3000,"&lt;"&amp;DATE(2017,3,31)))/COUNTIFS('DATA INPUT'!$B$3:$B$3000,'Report Tables'!AX$1,'DATA INPUT'!$A$3:$A$3000,"&gt;="&amp;DATE(2017,3,1),'DATA INPUT'!$A$3:$A$3000,"&lt;"&amp;DATE(2017,3,31)),#N/A),IFERROR((SUMIFS('DATA INPUT'!$D$3:$D$3000,'DATA INPUT'!$B$3:$B$3000,'Report Tables'!AX$1,'DATA INPUT'!$A$3:$A$3000,"&gt;="&amp;DATE(2017,3,1),'DATA INPUT'!$A$3:$A$3000,"&lt;"&amp;DATE(2017,3,31),'DATA INPUT'!$F$3:$F$3000,"&lt;&gt;*Exclude*"))/(COUNTIFS('DATA INPUT'!$B$3:$B$3000,'Report Tables'!AX$1,'DATA INPUT'!$A$3:$A$3000,"&gt;="&amp;DATE(2017,3,1),'DATA INPUT'!$A$3:$A$3000,"&lt;"&amp;DATE(2017,3,31),'DATA INPUT'!$F$3:$F$3000,"&lt;&gt;*Exclude*")),#N/A))</f>
        <v>#N/A</v>
      </c>
      <c r="AZ5" s="117" t="e">
        <f>IF($L$2="Yes",IFERROR((SUMIFS('DATA INPUT'!$C$3:$C$3000,'DATA INPUT'!$B$3:$B$3000,'Report Tables'!AX$1,'DATA INPUT'!$A$3:$A$3000,"&gt;="&amp;DATE(2017,3,1),'DATA INPUT'!$A$3:$A$3000,"&lt;"&amp;DATE(2017,3,31)))/COUNTIFS('DATA INPUT'!$B$3:$B$3000,'Report Tables'!AX$1,'DATA INPUT'!$A$3:$A$3000,"&gt;="&amp;DATE(2017,3,1),'DATA INPUT'!$A$3:$A$3000,"&lt;"&amp;DATE(2017,3,31)),#N/A),IFERROR((SUMIFS('DATA INPUT'!$C$3:$C$3000,'DATA INPUT'!$B$3:$B$3000,'Report Tables'!AX$1,'DATA INPUT'!$A$3:$A$3000,"&gt;="&amp;DATE(2017,3,1),'DATA INPUT'!$A$3:$A$3000,"&lt;"&amp;DATE(2017,3,31),'DATA INPUT'!$F$3:$F$3000,"&lt;&gt;*Exclude*"))/(COUNTIFS('DATA INPUT'!$B$3:$B$3000,'Report Tables'!AX$1,'DATA INPUT'!$A$3:$A$3000,"&gt;="&amp;DATE(2017,3,1),'DATA INPUT'!$A$3:$A$3000,"&lt;"&amp;DATE(2017,3,31),'DATA INPUT'!$F$3:$F$3000,"&lt;&gt;*Exclude*")),#N/A))</f>
        <v>#N/A</v>
      </c>
    </row>
    <row r="6" spans="1:52" x14ac:dyDescent="0.3">
      <c r="A6" s="95" t="e">
        <f>VLOOKUP(B6,Information!$C$8:$F$15,4,FALSE)</f>
        <v>#N/A</v>
      </c>
      <c r="B6" s="52">
        <f>Information!C9</f>
        <v>0</v>
      </c>
      <c r="C6" s="59">
        <f>IF($L$2="Yes",(COUNTIFS('DATA INPUT'!$A$3:$A$3000,"&gt;="&amp;DATE(2017,1,1),'DATA INPUT'!$A$3:$A$3000,"&lt;="&amp;DATE(2017,12,31),'DATA INPUT'!$B$3:$B$3000,$B6)),(COUNTIFS('DATA INPUT'!$A$3:$A$3000,"&gt;="&amp;DATE(2017,1,1),'DATA INPUT'!$A$3:$A$3000,"&lt;="&amp;DATE(2017,12,31),'DATA INPUT'!$B$3:$B$3000,$B6,'DATA INPUT'!$F$3:$F$3000,"&lt;&gt;*Exclude*")))</f>
        <v>0</v>
      </c>
      <c r="D6" s="59">
        <f>IF($L$2="Yes",(COUNTIFS('DATA INPUT'!$A$3:$A$3000,"&gt;="&amp;DATE(2018,1,1),'DATA INPUT'!$A$3:$A$3000,"&lt;="&amp;DATE(2018,12,31),'DATA INPUT'!$B$3:$B$3000,$B6)),(COUNTIFS('DATA INPUT'!$A$3:$A$3000,"&gt;="&amp;DATE(2018,1,1),'DATA INPUT'!$A$3:$A$3000,"&lt;="&amp;DATE(2018,12,31),'DATA INPUT'!$B$3:$B$3000,$B6,'DATA INPUT'!$F$3:$F$3000,"&lt;&gt;*Exclude*")))</f>
        <v>0</v>
      </c>
      <c r="E6" s="59">
        <f>IF($L$2="Yes",(COUNTIFS('DATA INPUT'!$A$3:$A$3000,"&gt;="&amp;DATE(2019,1,1),'DATA INPUT'!$A$3:$A$3000,"&lt;="&amp;DATE(2019,12,31),'DATA INPUT'!$B$3:$B$3000,$B6)),(COUNTIFS('DATA INPUT'!$A$3:$A$3000,"&gt;="&amp;DATE(2019,1,1),'DATA INPUT'!$A$3:$A$3000,"&lt;="&amp;DATE(2019,12,31),'DATA INPUT'!$B$3:$B$3000,$B6,'DATA INPUT'!$F$3:$F$3000,"&lt;&gt;*Exclude*")))</f>
        <v>0</v>
      </c>
      <c r="F6" s="59">
        <f>IF($L$2="Yes",(COUNTIFS('DATA INPUT'!$A$3:$A$3000,"&gt;="&amp;DATE(2020,1,1),'DATA INPUT'!$A$3:$A$3000,"&lt;="&amp;DATE(2020,12,31),'DATA INPUT'!$B$3:$B$3000,$B6)),(COUNTIFS('DATA INPUT'!$A$3:$A$3000,"&gt;="&amp;DATE(2020,1,1),'DATA INPUT'!$A$3:$A$3000,"&lt;="&amp;DATE(2020,12,31),'DATA INPUT'!$B$3:$B$3000,$B6,'DATA INPUT'!$F$3:$F$3000,"&lt;&gt;*Exclude*")))</f>
        <v>0</v>
      </c>
      <c r="G6" s="59">
        <f>IF($L$2="Yes",(COUNTIFS('DATA INPUT'!$A$3:$A$3000,"&gt;="&amp;DATE(2021,1,1),'DATA INPUT'!$A$3:$A$3000,"&lt;="&amp;DATE(2021,12,31),'DATA INPUT'!$B$3:$B$3000,$B6)),(COUNTIFS('DATA INPUT'!$A$3:$A$3000,"&gt;="&amp;DATE(2021,1,1),'DATA INPUT'!$A$3:$A$3000,"&lt;="&amp;DATE(2021,12,31),'DATA INPUT'!$B$3:$B$3000,$B6,'DATA INPUT'!$F$3:$F$3000,"&lt;&gt;*Exclude*")))</f>
        <v>0</v>
      </c>
      <c r="H6" s="59">
        <f>IF($L$2="Yes",(COUNTIFS('DATA INPUT'!$A$3:$A$3000,"&gt;="&amp;DATE(2022,1,1),'DATA INPUT'!$A$3:$A$3000,"&lt;="&amp;DATE(2022,12,31),'DATA INPUT'!$B$3:$B$3000,$B6)),(COUNTIFS('DATA INPUT'!$A$3:$A$3000,"&gt;="&amp;DATE(2022,1,1),'DATA INPUT'!$A$3:$A$3000,"&lt;="&amp;DATE(2022,12,31),'DATA INPUT'!$B$3:$B$3000,$B6,'DATA INPUT'!$F$3:$F$3000,"&lt;&gt;*Exclude*")))</f>
        <v>0</v>
      </c>
      <c r="I6" s="59">
        <f>IF($L$2="Yes",(COUNTIFS('DATA INPUT'!$A$3:$A$3000,"&gt;="&amp;DATE(2023,1,1),'DATA INPUT'!$A$3:$A$3000,"&lt;="&amp;DATE(2023,12,31),'DATA INPUT'!$B$3:$B$3000,$B6)),(COUNTIFS('DATA INPUT'!$A$3:$A$3000,"&gt;="&amp;DATE(2023,1,1),'DATA INPUT'!$A$3:$A$3000,"&lt;="&amp;DATE(2023,12,31),'DATA INPUT'!$B$3:$B$3000,$B6,'DATA INPUT'!$F$3:$F$3000,"&lt;&gt;*Exclude*")))</f>
        <v>0</v>
      </c>
      <c r="J6" s="59">
        <f>IF($L$2="Yes",(COUNTIFS('DATA INPUT'!$A$3:$A$3000,"&gt;="&amp;DATE(2024,1,1),'DATA INPUT'!$A$3:$A$3000,"&lt;="&amp;DATE(2024,12,31),'DATA INPUT'!$B$3:$B$3000,$B6)),(COUNTIFS('DATA INPUT'!$A$3:$A$3000,"&gt;="&amp;DATE(2024,1,1),'DATA INPUT'!$A$3:$A$3000,"&lt;="&amp;DATE(2024,12,31),'DATA INPUT'!$B$3:$B$3000,$B6,'DATA INPUT'!$F$3:$F$3000,"&lt;&gt;*Exclude*")))</f>
        <v>0</v>
      </c>
      <c r="K6" s="59">
        <f>IF($L$2="Yes",(COUNTIFS('DATA INPUT'!$A$3:$A$3000,"&gt;="&amp;DATE(2025,1,1),'DATA INPUT'!$A$3:$A$3000,"&lt;="&amp;DATE(2025,12,31),'DATA INPUT'!$B$3:$B$3000,$B6)),(COUNTIFS('DATA INPUT'!$A$3:$A$3000,"&gt;="&amp;DATE(2025,1,1),'DATA INPUT'!$A$3:$A$3000,"&lt;="&amp;DATE(2025,12,31),'DATA INPUT'!$B$3:$B$3000,$B6,'DATA INPUT'!$F$3:$F$3000,"&lt;&gt;*Exclude*")))</f>
        <v>0</v>
      </c>
      <c r="L6" s="48">
        <f t="shared" ref="L6:L12" si="3">SUMIFS(C6:K6,C6:K6,"&lt;&gt;#DIV/0!",C6:K6,"&lt;&gt;#n/a")</f>
        <v>0</v>
      </c>
      <c r="M6" s="49" t="str">
        <f t="shared" ref="M6:M12" si="4">IFERROR(L6/(COUNTIF(C6:K6,"&gt;0")),"")</f>
        <v/>
      </c>
      <c r="P6" s="225"/>
      <c r="Q6" s="225"/>
      <c r="R6" s="225"/>
      <c r="S6" s="229"/>
      <c r="T6" s="229"/>
      <c r="U6" s="229"/>
      <c r="V6" s="229"/>
      <c r="W6" s="229"/>
      <c r="X6" s="229"/>
      <c r="Y6" s="149"/>
      <c r="Z6" s="149" t="s">
        <v>15</v>
      </c>
      <c r="AA6" s="136" t="e">
        <f>IF($L$2="Yes",IF(SUMIFS('DATA INPUT'!$E$3:$E$3000,'DATA INPUT'!$B$3:$B$3000,'Report Tables'!AA$1,'DATA INPUT'!$A$3:$A$3000,"&gt;="&amp;DATE(2017,4,1),'DATA INPUT'!$A$3:$A$3000,"&lt;"&amp;DATE(2017,4,31))=0,#N/A,(SUMIFS('DATA INPUT'!$E$3:$E$3000,'DATA INPUT'!$B$3:$B$3000,'Report Tables'!AA$1,'DATA INPUT'!$A$3:$A$3000,"&gt;="&amp;DATE(2017,4,1),'DATA INPUT'!$A$3:$A$3000,"&lt;"&amp;DATE(2017,4,31)))),IF(SUMIFS('DATA INPUT'!$E$3:$E$3000,'DATA INPUT'!$B$3:$B$3000,'Report Tables'!AA$1,'DATA INPUT'!$A$3:$A$3000,"&gt;="&amp;DATE(2017,4,1),'DATA INPUT'!$A$3:$A$3000,"&lt;"&amp;DATE(2017,4,31),'DATA INPUT'!$F$3:$F$3000,"&lt;&gt;*Exclude*")=0,#N/A,(SUMIFS('DATA INPUT'!$E$3:$E$3000,'DATA INPUT'!$B$3:$B$3000,'Report Tables'!AA$1,'DATA INPUT'!$A$3:$A$3000,"&gt;="&amp;DATE(2017,4,1),'DATA INPUT'!$A$3:$A$3000,"&lt;"&amp;DATE(2017,4,31),'DATA INPUT'!$F$3:$F$3000,"&lt;&gt;*Exclude*"))))</f>
        <v>#N/A</v>
      </c>
      <c r="AB6" s="136" t="e">
        <f>IF($L$2="Yes",IF(SUMIFS('DATA INPUT'!$E$3:$E$3000,'DATA INPUT'!$B$3:$B$3000,'Report Tables'!AB$1,'DATA INPUT'!$A$3:$A$3000,"&gt;="&amp;DATE(2017,4,1),'DATA INPUT'!$A$3:$A$3000,"&lt;"&amp;DATE(2017,4,31))=0,#N/A,(SUMIFS('DATA INPUT'!$E$3:$E$3000,'DATA INPUT'!$B$3:$B$3000,'Report Tables'!AB$1,'DATA INPUT'!$A$3:$A$3000,"&gt;="&amp;DATE(2017,4,1),'DATA INPUT'!$A$3:$A$3000,"&lt;"&amp;DATE(2017,4,31)))),IF(SUMIFS('DATA INPUT'!$E$3:$E$3000,'DATA INPUT'!$B$3:$B$3000,'Report Tables'!AB$1,'DATA INPUT'!$A$3:$A$3000,"&gt;="&amp;DATE(2017,4,1),'DATA INPUT'!$A$3:$A$3000,"&lt;"&amp;DATE(2017,4,31),'DATA INPUT'!$F$3:$F$3000,"&lt;&gt;*Exclude*")=0,#N/A,(SUMIFS('DATA INPUT'!$E$3:$E$3000,'DATA INPUT'!$B$3:$B$3000,'Report Tables'!AB$1,'DATA INPUT'!$A$3:$A$3000,"&gt;="&amp;DATE(2017,4,1),'DATA INPUT'!$A$3:$A$3000,"&lt;"&amp;DATE(2017,4,31),'DATA INPUT'!$F$3:$F$3000,"&lt;&gt;*Exclude*"))))</f>
        <v>#N/A</v>
      </c>
      <c r="AC6" s="136" t="e">
        <f>IF($L$2="Yes",IF(SUMIFS('DATA INPUT'!$E$3:$E$3000,'DATA INPUT'!$B$3:$B$3000,'Report Tables'!AC$1,'DATA INPUT'!$A$3:$A$3000,"&gt;="&amp;DATE(2017,4,1),'DATA INPUT'!$A$3:$A$3000,"&lt;"&amp;DATE(2017,4,31))=0,#N/A,(SUMIFS('DATA INPUT'!$E$3:$E$3000,'DATA INPUT'!$B$3:$B$3000,'Report Tables'!AC$1,'DATA INPUT'!$A$3:$A$3000,"&gt;="&amp;DATE(2017,4,1),'DATA INPUT'!$A$3:$A$3000,"&lt;"&amp;DATE(2017,4,31)))),IF(SUMIFS('DATA INPUT'!$E$3:$E$3000,'DATA INPUT'!$B$3:$B$3000,'Report Tables'!AC$1,'DATA INPUT'!$A$3:$A$3000,"&gt;="&amp;DATE(2017,4,1),'DATA INPUT'!$A$3:$A$3000,"&lt;"&amp;DATE(2017,4,31),'DATA INPUT'!$F$3:$F$3000,"&lt;&gt;*Exclude*")=0,#N/A,(SUMIFS('DATA INPUT'!$E$3:$E$3000,'DATA INPUT'!$B$3:$B$3000,'Report Tables'!AC$1,'DATA INPUT'!$A$3:$A$3000,"&gt;="&amp;DATE(2017,4,1),'DATA INPUT'!$A$3:$A$3000,"&lt;"&amp;DATE(2017,4,31),'DATA INPUT'!$F$3:$F$3000,"&lt;&gt;*Exclude*"))))</f>
        <v>#N/A</v>
      </c>
      <c r="AD6" s="136" t="e">
        <f>IF($L$2="Yes",IF(SUMIFS('DATA INPUT'!$E$3:$E$3000,'DATA INPUT'!$B$3:$B$3000,'Report Tables'!AD$1,'DATA INPUT'!$A$3:$A$3000,"&gt;="&amp;DATE(2017,4,1),'DATA INPUT'!$A$3:$A$3000,"&lt;"&amp;DATE(2017,4,31))=0,#N/A,(SUMIFS('DATA INPUT'!$E$3:$E$3000,'DATA INPUT'!$B$3:$B$3000,'Report Tables'!AD$1,'DATA INPUT'!$A$3:$A$3000,"&gt;="&amp;DATE(2017,4,1),'DATA INPUT'!$A$3:$A$3000,"&lt;"&amp;DATE(2017,4,31)))),IF(SUMIFS('DATA INPUT'!$E$3:$E$3000,'DATA INPUT'!$B$3:$B$3000,'Report Tables'!AD$1,'DATA INPUT'!$A$3:$A$3000,"&gt;="&amp;DATE(2017,4,1),'DATA INPUT'!$A$3:$A$3000,"&lt;"&amp;DATE(2017,4,31),'DATA INPUT'!$F$3:$F$3000,"&lt;&gt;*Exclude*")=0,#N/A,(SUMIFS('DATA INPUT'!$E$3:$E$3000,'DATA INPUT'!$B$3:$B$3000,'Report Tables'!AD$1,'DATA INPUT'!$A$3:$A$3000,"&gt;="&amp;DATE(2017,4,1),'DATA INPUT'!$A$3:$A$3000,"&lt;"&amp;DATE(2017,4,31),'DATA INPUT'!$F$3:$F$3000,"&lt;&gt;*Exclude*"))))</f>
        <v>#N/A</v>
      </c>
      <c r="AE6" s="136" t="e">
        <f>IF($L$2="Yes",IF(SUMIFS('DATA INPUT'!$E$3:$E$3000,'DATA INPUT'!$B$3:$B$3000,'Report Tables'!AE$1,'DATA INPUT'!$A$3:$A$3000,"&gt;="&amp;DATE(2017,4,1),'DATA INPUT'!$A$3:$A$3000,"&lt;"&amp;DATE(2017,4,31))=0,#N/A,(SUMIFS('DATA INPUT'!$E$3:$E$3000,'DATA INPUT'!$B$3:$B$3000,'Report Tables'!AE$1,'DATA INPUT'!$A$3:$A$3000,"&gt;="&amp;DATE(2017,4,1),'DATA INPUT'!$A$3:$A$3000,"&lt;"&amp;DATE(2017,4,31)))),IF(SUMIFS('DATA INPUT'!$E$3:$E$3000,'DATA INPUT'!$B$3:$B$3000,'Report Tables'!AE$1,'DATA INPUT'!$A$3:$A$3000,"&gt;="&amp;DATE(2017,4,1),'DATA INPUT'!$A$3:$A$3000,"&lt;"&amp;DATE(2017,4,31),'DATA INPUT'!$F$3:$F$3000,"&lt;&gt;*Exclude*")=0,#N/A,(SUMIFS('DATA INPUT'!$E$3:$E$3000,'DATA INPUT'!$B$3:$B$3000,'Report Tables'!AE$1,'DATA INPUT'!$A$3:$A$3000,"&gt;="&amp;DATE(2017,4,1),'DATA INPUT'!$A$3:$A$3000,"&lt;"&amp;DATE(2017,4,31),'DATA INPUT'!$F$3:$F$3000,"&lt;&gt;*Exclude*"))))</f>
        <v>#N/A</v>
      </c>
      <c r="AF6" s="136" t="e">
        <f>IF($L$2="Yes",IF(SUMIFS('DATA INPUT'!$E$3:$E$3000,'DATA INPUT'!$B$3:$B$3000,'Report Tables'!AF$1,'DATA INPUT'!$A$3:$A$3000,"&gt;="&amp;DATE(2017,4,1),'DATA INPUT'!$A$3:$A$3000,"&lt;"&amp;DATE(2017,4,31))=0,#N/A,(SUMIFS('DATA INPUT'!$E$3:$E$3000,'DATA INPUT'!$B$3:$B$3000,'Report Tables'!AF$1,'DATA INPUT'!$A$3:$A$3000,"&gt;="&amp;DATE(2017,4,1),'DATA INPUT'!$A$3:$A$3000,"&lt;"&amp;DATE(2017,4,31)))),IF(SUMIFS('DATA INPUT'!$E$3:$E$3000,'DATA INPUT'!$B$3:$B$3000,'Report Tables'!AF$1,'DATA INPUT'!$A$3:$A$3000,"&gt;="&amp;DATE(2017,4,1),'DATA INPUT'!$A$3:$A$3000,"&lt;"&amp;DATE(2017,4,31),'DATA INPUT'!$F$3:$F$3000,"&lt;&gt;*Exclude*")=0,#N/A,(SUMIFS('DATA INPUT'!$E$3:$E$3000,'DATA INPUT'!$B$3:$B$3000,'Report Tables'!AF$1,'DATA INPUT'!$A$3:$A$3000,"&gt;="&amp;DATE(2017,4,1),'DATA INPUT'!$A$3:$A$3000,"&lt;"&amp;DATE(2017,4,31),'DATA INPUT'!$F$3:$F$3000,"&lt;&gt;*Exclude*"))))</f>
        <v>#N/A</v>
      </c>
      <c r="AG6" s="136" t="e">
        <f>IF($L$2="Yes",IF(SUMIFS('DATA INPUT'!$E$3:$E$3000,'DATA INPUT'!$B$3:$B$3000,'Report Tables'!AG$1,'DATA INPUT'!$A$3:$A$3000,"&gt;="&amp;DATE(2017,4,1),'DATA INPUT'!$A$3:$A$3000,"&lt;"&amp;DATE(2017,4,31))=0,#N/A,(SUMIFS('DATA INPUT'!$E$3:$E$3000,'DATA INPUT'!$B$3:$B$3000,'Report Tables'!AG$1,'DATA INPUT'!$A$3:$A$3000,"&gt;="&amp;DATE(2017,4,1),'DATA INPUT'!$A$3:$A$3000,"&lt;"&amp;DATE(2017,4,31)))),IF(SUMIFS('DATA INPUT'!$E$3:$E$3000,'DATA INPUT'!$B$3:$B$3000,'Report Tables'!AG$1,'DATA INPUT'!$A$3:$A$3000,"&gt;="&amp;DATE(2017,4,1),'DATA INPUT'!$A$3:$A$3000,"&lt;"&amp;DATE(2017,4,31),'DATA INPUT'!$F$3:$F$3000,"&lt;&gt;*Exclude*")=0,#N/A,(SUMIFS('DATA INPUT'!$E$3:$E$3000,'DATA INPUT'!$B$3:$B$3000,'Report Tables'!AG$1,'DATA INPUT'!$A$3:$A$3000,"&gt;="&amp;DATE(2017,4,1),'DATA INPUT'!$A$3:$A$3000,"&lt;"&amp;DATE(2017,4,31),'DATA INPUT'!$F$3:$F$3000,"&lt;&gt;*Exclude*"))))</f>
        <v>#N/A</v>
      </c>
      <c r="AH6" s="136" t="e">
        <f>IF($L$2="Yes",IF(SUMIFS('DATA INPUT'!$E$3:$E$3000,'DATA INPUT'!$B$3:$B$3000,'Report Tables'!AH$1,'DATA INPUT'!$A$3:$A$3000,"&gt;="&amp;DATE(2017,4,1),'DATA INPUT'!$A$3:$A$3000,"&lt;"&amp;DATE(2017,4,31))=0,#N/A,(SUMIFS('DATA INPUT'!$E$3:$E$3000,'DATA INPUT'!$B$3:$B$3000,'Report Tables'!AH$1,'DATA INPUT'!$A$3:$A$3000,"&gt;="&amp;DATE(2017,4,1),'DATA INPUT'!$A$3:$A$3000,"&lt;"&amp;DATE(2017,4,31)))),IF(SUMIFS('DATA INPUT'!$E$3:$E$3000,'DATA INPUT'!$B$3:$B$3000,'Report Tables'!AH$1,'DATA INPUT'!$A$3:$A$3000,"&gt;="&amp;DATE(2017,4,1),'DATA INPUT'!$A$3:$A$3000,"&lt;"&amp;DATE(2017,4,31),'DATA INPUT'!$F$3:$F$3000,"&lt;&gt;*Exclude*")=0,#N/A,(SUMIFS('DATA INPUT'!$E$3:$E$3000,'DATA INPUT'!$B$3:$B$3000,'Report Tables'!AH$1,'DATA INPUT'!$A$3:$A$3000,"&gt;="&amp;DATE(2017,4,1),'DATA INPUT'!$A$3:$A$3000,"&lt;"&amp;DATE(2017,4,31),'DATA INPUT'!$F$3:$F$3000,"&lt;&gt;*Exclude*"))))</f>
        <v>#N/A</v>
      </c>
      <c r="AI6" s="136" t="e">
        <f t="shared" si="0"/>
        <v>#N/A</v>
      </c>
      <c r="AJ6" s="136" t="e">
        <f>IF($L$2="Yes",IF(SUMIFS('DATA INPUT'!$D$3:$D$3000,'DATA INPUT'!$A$3:$A$3000,"&gt;="&amp;DATE(2017,4,1),'DATA INPUT'!$A$3:$A$3000,"&lt;"&amp;DATE(2017,4,31),'DATA INPUT'!$G$3:$G$3000,"&lt;&gt;*School service*")=0,#N/A,(SUMIFS('DATA INPUT'!$D$3:$D$3000,'DATA INPUT'!$A$3:$A$3000,"&gt;="&amp;DATE(2017,4,1),'DATA INPUT'!$A$3:$A$3000,"&lt;"&amp;DATE(2017,4,31),'DATA INPUT'!$G$3:$G$3000,"&lt;&gt;*School service*"))),IF(SUMIFS('DATA INPUT'!$D$3:$D$3000,'DATA INPUT'!$A$3:$A$3000,"&gt;="&amp;DATE(2017,4,1),'DATA INPUT'!$A$3:$A$3000,"&lt;"&amp;DATE(2017,4,31),'DATA INPUT'!$F$3:$F$3000,"&lt;&gt;*Exclude*",'DATA INPUT'!$G$3:$G$3000,"&lt;&gt;*School service*")=0,#N/A,(SUMIFS('DATA INPUT'!$D$3:$D$3000,'DATA INPUT'!$A$3:$A$3000,"&gt;="&amp;DATE(2017,4,1),'DATA INPUT'!$A$3:$A$3000,"&lt;"&amp;DATE(2017,4,31),'DATA INPUT'!$F$3:$F$3000,"&lt;&gt;*Exclude*",'DATA INPUT'!$G$3:$G$3000,"&lt;&gt;*School service*"))))</f>
        <v>#N/A</v>
      </c>
      <c r="AK6" s="136" t="e">
        <f>AI6-AJ6</f>
        <v>#N/A</v>
      </c>
      <c r="AM6" s="117" t="e">
        <f>IF($L$2="Yes",IFERROR((SUMIFS('DATA INPUT'!$E$3:$E$3000,'DATA INPUT'!$B$3:$B$3000,'Report Tables'!AM$1,'DATA INPUT'!$A$3:$A$3000,"&gt;="&amp;DATE(2017,4,1),'DATA INPUT'!$A$3:$A$3000,"&lt;"&amp;DATE(2017,4,31)))/COUNTIFS('DATA INPUT'!$B$3:$B$3000,'Report Tables'!AM$1,'DATA INPUT'!$A$3:$A$3000,"&gt;="&amp;DATE(2017,4,1),'DATA INPUT'!$A$3:$A$3000,"&lt;"&amp;DATE(2017,4,31)),#N/A),IFERROR((SUMIFS('DATA INPUT'!$E$3:$E$3000,'DATA INPUT'!$B$3:$B$3000,'Report Tables'!AM$1,'DATA INPUT'!$A$3:$A$3000,"&gt;="&amp;DATE(2017,4,1),'DATA INPUT'!$A$3:$A$3000,"&lt;"&amp;DATE(2017,4,31),'DATA INPUT'!$F$3:$F$3000,"&lt;&gt;*Exclude*"))/(COUNTIFS('DATA INPUT'!$B$3:$B$3000,'Report Tables'!AM$1,'DATA INPUT'!$A$3:$A$3000,"&gt;="&amp;DATE(2017,4,1),'DATA INPUT'!$A$3:$A$3000,"&lt;"&amp;DATE(2017,4,31),'DATA INPUT'!$F$3:$F$3000,"&lt;&gt;*Exclude*")),#N/A))</f>
        <v>#N/A</v>
      </c>
      <c r="AN6" s="117" t="e">
        <f>IF($L$2="Yes",IFERROR((SUMIFS('DATA INPUT'!$E$3:$E$3000,'DATA INPUT'!$B$3:$B$3000,'Report Tables'!AN$1,'DATA INPUT'!$A$3:$A$3000,"&gt;="&amp;DATE(2017,4,1),'DATA INPUT'!$A$3:$A$3000,"&lt;"&amp;DATE(2017,4,31)))/COUNTIFS('DATA INPUT'!$B$3:$B$3000,'Report Tables'!AN$1,'DATA INPUT'!$A$3:$A$3000,"&gt;="&amp;DATE(2017,4,1),'DATA INPUT'!$A$3:$A$3000,"&lt;"&amp;DATE(2017,4,31)),#N/A),IFERROR((SUMIFS('DATA INPUT'!$E$3:$E$3000,'DATA INPUT'!$B$3:$B$3000,'Report Tables'!AN$1,'DATA INPUT'!$A$3:$A$3000,"&gt;="&amp;DATE(2017,4,1),'DATA INPUT'!$A$3:$A$3000,"&lt;"&amp;DATE(2017,4,31),'DATA INPUT'!$F$3:$F$3000,"&lt;&gt;*Exclude*"))/(COUNTIFS('DATA INPUT'!$B$3:$B$3000,'Report Tables'!AN$1,'DATA INPUT'!$A$3:$A$3000,"&gt;="&amp;DATE(2017,4,1),'DATA INPUT'!$A$3:$A$3000,"&lt;"&amp;DATE(2017,4,31),'DATA INPUT'!$F$3:$F$3000,"&lt;&gt;*Exclude*")),#N/A))</f>
        <v>#N/A</v>
      </c>
      <c r="AO6" s="117" t="e">
        <f>IF($L$2="Yes",IFERROR((SUMIFS('DATA INPUT'!$E$3:$E$3000,'DATA INPUT'!$B$3:$B$3000,'Report Tables'!AO$1,'DATA INPUT'!$A$3:$A$3000,"&gt;="&amp;DATE(2017,4,1),'DATA INPUT'!$A$3:$A$3000,"&lt;"&amp;DATE(2017,4,31)))/COUNTIFS('DATA INPUT'!$B$3:$B$3000,'Report Tables'!AO$1,'DATA INPUT'!$A$3:$A$3000,"&gt;="&amp;DATE(2017,4,1),'DATA INPUT'!$A$3:$A$3000,"&lt;"&amp;DATE(2017,4,31)),#N/A),IFERROR((SUMIFS('DATA INPUT'!$E$3:$E$3000,'DATA INPUT'!$B$3:$B$3000,'Report Tables'!AO$1,'DATA INPUT'!$A$3:$A$3000,"&gt;="&amp;DATE(2017,4,1),'DATA INPUT'!$A$3:$A$3000,"&lt;"&amp;DATE(2017,4,31),'DATA INPUT'!$F$3:$F$3000,"&lt;&gt;*Exclude*"))/(COUNTIFS('DATA INPUT'!$B$3:$B$3000,'Report Tables'!AO$1,'DATA INPUT'!$A$3:$A$3000,"&gt;="&amp;DATE(2017,4,1),'DATA INPUT'!$A$3:$A$3000,"&lt;"&amp;DATE(2017,4,31),'DATA INPUT'!$F$3:$F$3000,"&lt;&gt;*Exclude*")),#N/A))</f>
        <v>#N/A</v>
      </c>
      <c r="AP6" s="117" t="e">
        <f>IF($L$2="Yes",IFERROR((SUMIFS('DATA INPUT'!$E$3:$E$3000,'DATA INPUT'!$B$3:$B$3000,'Report Tables'!AP$1,'DATA INPUT'!$A$3:$A$3000,"&gt;="&amp;DATE(2017,4,1),'DATA INPUT'!$A$3:$A$3000,"&lt;"&amp;DATE(2017,4,31)))/COUNTIFS('DATA INPUT'!$B$3:$B$3000,'Report Tables'!AP$1,'DATA INPUT'!$A$3:$A$3000,"&gt;="&amp;DATE(2017,4,1),'DATA INPUT'!$A$3:$A$3000,"&lt;"&amp;DATE(2017,4,31)),#N/A),IFERROR((SUMIFS('DATA INPUT'!$E$3:$E$3000,'DATA INPUT'!$B$3:$B$3000,'Report Tables'!AP$1,'DATA INPUT'!$A$3:$A$3000,"&gt;="&amp;DATE(2017,4,1),'DATA INPUT'!$A$3:$A$3000,"&lt;"&amp;DATE(2017,4,31),'DATA INPUT'!$F$3:$F$3000,"&lt;&gt;*Exclude*"))/(COUNTIFS('DATA INPUT'!$B$3:$B$3000,'Report Tables'!AP$1,'DATA INPUT'!$A$3:$A$3000,"&gt;="&amp;DATE(2017,4,1),'DATA INPUT'!$A$3:$A$3000,"&lt;"&amp;DATE(2017,4,31),'DATA INPUT'!$F$3:$F$3000,"&lt;&gt;*Exclude*")),#N/A))</f>
        <v>#N/A</v>
      </c>
      <c r="AQ6" s="117" t="e">
        <f>IF($L$2="Yes",IFERROR((SUMIFS('DATA INPUT'!$E$3:$E$3000,'DATA INPUT'!$B$3:$B$3000,'Report Tables'!AQ$1,'DATA INPUT'!$A$3:$A$3000,"&gt;="&amp;DATE(2017,4,1),'DATA INPUT'!$A$3:$A$3000,"&lt;"&amp;DATE(2017,4,31)))/COUNTIFS('DATA INPUT'!$B$3:$B$3000,'Report Tables'!AQ$1,'DATA INPUT'!$A$3:$A$3000,"&gt;="&amp;DATE(2017,4,1),'DATA INPUT'!$A$3:$A$3000,"&lt;"&amp;DATE(2017,4,31)),#N/A),IFERROR((SUMIFS('DATA INPUT'!$E$3:$E$3000,'DATA INPUT'!$B$3:$B$3000,'Report Tables'!AQ$1,'DATA INPUT'!$A$3:$A$3000,"&gt;="&amp;DATE(2017,4,1),'DATA INPUT'!$A$3:$A$3000,"&lt;"&amp;DATE(2017,4,31),'DATA INPUT'!$F$3:$F$3000,"&lt;&gt;*Exclude*"))/(COUNTIFS('DATA INPUT'!$B$3:$B$3000,'Report Tables'!AQ$1,'DATA INPUT'!$A$3:$A$3000,"&gt;="&amp;DATE(2017,4,1),'DATA INPUT'!$A$3:$A$3000,"&lt;"&amp;DATE(2017,4,31),'DATA INPUT'!$F$3:$F$3000,"&lt;&gt;*Exclude*")),#N/A))</f>
        <v>#N/A</v>
      </c>
      <c r="AR6" s="117" t="e">
        <f>IF($L$2="Yes",IFERROR((SUMIFS('DATA INPUT'!$E$3:$E$3000,'DATA INPUT'!$B$3:$B$3000,'Report Tables'!AR$1,'DATA INPUT'!$A$3:$A$3000,"&gt;="&amp;DATE(2017,4,1),'DATA INPUT'!$A$3:$A$3000,"&lt;"&amp;DATE(2017,4,31)))/COUNTIFS('DATA INPUT'!$B$3:$B$3000,'Report Tables'!AR$1,'DATA INPUT'!$A$3:$A$3000,"&gt;="&amp;DATE(2017,4,1),'DATA INPUT'!$A$3:$A$3000,"&lt;"&amp;DATE(2017,4,31)),#N/A),IFERROR((SUMIFS('DATA INPUT'!$E$3:$E$3000,'DATA INPUT'!$B$3:$B$3000,'Report Tables'!AR$1,'DATA INPUT'!$A$3:$A$3000,"&gt;="&amp;DATE(2017,4,1),'DATA INPUT'!$A$3:$A$3000,"&lt;"&amp;DATE(2017,4,31),'DATA INPUT'!$F$3:$F$3000,"&lt;&gt;*Exclude*"))/(COUNTIFS('DATA INPUT'!$B$3:$B$3000,'Report Tables'!AR$1,'DATA INPUT'!$A$3:$A$3000,"&gt;="&amp;DATE(2017,4,1),'DATA INPUT'!$A$3:$A$3000,"&lt;"&amp;DATE(2017,4,31),'DATA INPUT'!$F$3:$F$3000,"&lt;&gt;*Exclude*")),#N/A))</f>
        <v>#N/A</v>
      </c>
      <c r="AS6" s="117" t="e">
        <f>IF($L$2="Yes",IFERROR((SUMIFS('DATA INPUT'!$E$3:$E$3000,'DATA INPUT'!$B$3:$B$3000,'Report Tables'!AS$1,'DATA INPUT'!$A$3:$A$3000,"&gt;="&amp;DATE(2017,4,1),'DATA INPUT'!$A$3:$A$3000,"&lt;"&amp;DATE(2017,4,31)))/COUNTIFS('DATA INPUT'!$B$3:$B$3000,'Report Tables'!AS$1,'DATA INPUT'!$A$3:$A$3000,"&gt;="&amp;DATE(2017,4,1),'DATA INPUT'!$A$3:$A$3000,"&lt;"&amp;DATE(2017,4,31)),#N/A),IFERROR((SUMIFS('DATA INPUT'!$E$3:$E$3000,'DATA INPUT'!$B$3:$B$3000,'Report Tables'!AS$1,'DATA INPUT'!$A$3:$A$3000,"&gt;="&amp;DATE(2017,4,1),'DATA INPUT'!$A$3:$A$3000,"&lt;"&amp;DATE(2017,4,31),'DATA INPUT'!$F$3:$F$3000,"&lt;&gt;*Exclude*"))/(COUNTIFS('DATA INPUT'!$B$3:$B$3000,'Report Tables'!AS$1,'DATA INPUT'!$A$3:$A$3000,"&gt;="&amp;DATE(2017,4,1),'DATA INPUT'!$A$3:$A$3000,"&lt;"&amp;DATE(2017,4,31),'DATA INPUT'!$F$3:$F$3000,"&lt;&gt;*Exclude*")),#N/A))</f>
        <v>#N/A</v>
      </c>
      <c r="AT6" s="117" t="e">
        <f>IF($L$2="Yes",IFERROR((SUMIFS('DATA INPUT'!$E$3:$E$3000,'DATA INPUT'!$B$3:$B$3000,'Report Tables'!AT$1,'DATA INPUT'!$A$3:$A$3000,"&gt;="&amp;DATE(2017,4,1),'DATA INPUT'!$A$3:$A$3000,"&lt;"&amp;DATE(2017,4,31)))/COUNTIFS('DATA INPUT'!$B$3:$B$3000,'Report Tables'!AT$1,'DATA INPUT'!$A$3:$A$3000,"&gt;="&amp;DATE(2017,4,1),'DATA INPUT'!$A$3:$A$3000,"&lt;"&amp;DATE(2017,4,31)),#N/A),IFERROR((SUMIFS('DATA INPUT'!$E$3:$E$3000,'DATA INPUT'!$B$3:$B$3000,'Report Tables'!AT$1,'DATA INPUT'!$A$3:$A$3000,"&gt;="&amp;DATE(2017,4,1),'DATA INPUT'!$A$3:$A$3000,"&lt;"&amp;DATE(2017,4,31),'DATA INPUT'!$F$3:$F$3000,"&lt;&gt;*Exclude*"))/(COUNTIFS('DATA INPUT'!$B$3:$B$3000,'Report Tables'!AT$1,'DATA INPUT'!$A$3:$A$3000,"&gt;="&amp;DATE(2017,4,1),'DATA INPUT'!$A$3:$A$3000,"&lt;"&amp;DATE(2017,4,31),'DATA INPUT'!$F$3:$F$3000,"&lt;&gt;*Exclude*")),#N/A))</f>
        <v>#N/A</v>
      </c>
      <c r="AU6" s="117" t="e">
        <f t="shared" si="1"/>
        <v>#N/A</v>
      </c>
      <c r="AV6" s="117" t="e">
        <f>IF($L$2="Yes",IFERROR((SUMIFS('DATA INPUT'!$D$3:$D$3000,'DATA INPUT'!$A$3:$A$3000,"&gt;="&amp;DATE(2017,4,1),'DATA INPUT'!$A$3:$A$3000,"&lt;"&amp;DATE(2017,4,31),'DATA INPUT'!$G$3:$G$3000,"&lt;&gt;*School service*"))/COUNTIFS('DATA INPUT'!$A$3:$A$3000,"&gt;="&amp;DATE(2017,4,1),'DATA INPUT'!$A$3:$A$3000,"&lt;"&amp;DATE(2017,4,31),'DATA INPUT'!$G$3:$G$3000,"&lt;&gt;*School service*",'DATA INPUT'!$D$3:$D$3000,"&lt;&gt;"&amp;""),#N/A),IFERROR((SUMIFS('DATA INPUT'!$D$3:$D$3000,'DATA INPUT'!$A$3:$A$3000,"&gt;="&amp;DATE(2017,4,1),'DATA INPUT'!$A$3:$A$3000,"&lt;"&amp;DATE(2017,4,31),'DATA INPUT'!$F$3:$F$3000,"&lt;&gt;*Exclude*",'DATA INPUT'!$G$3:$G$3000,"&lt;&gt;*School service*"))/(COUNTIFS('DATA INPUT'!$A$3:$A$3000,"&gt;="&amp;DATE(2017,4,1),'DATA INPUT'!$A$3:$A$3000,"&lt;"&amp;DATE(2017,4,31),'DATA INPUT'!$F$3:$F$3000,"&lt;&gt;*Exclude*",'DATA INPUT'!$G$3:$G$3000,"&lt;&gt;*School service*",'DATA INPUT'!$D$3:$D$3000,"&lt;&gt;"&amp;"")),#N/A))</f>
        <v>#N/A</v>
      </c>
      <c r="AW6" s="117" t="e">
        <f t="shared" si="2"/>
        <v>#N/A</v>
      </c>
      <c r="AX6" s="117" t="e">
        <f>IF($L$2="Yes",IFERROR((SUMIFS('DATA INPUT'!$E$3:$E$3000,'DATA INPUT'!$B$3:$B$3000,'Report Tables'!AX$1,'DATA INPUT'!$A$3:$A$3000,"&gt;="&amp;DATE(2017,4,1),'DATA INPUT'!$A$3:$A$3000,"&lt;"&amp;DATE(2017,4,31)))/COUNTIFS('DATA INPUT'!$B$3:$B$3000,'Report Tables'!AX$1,'DATA INPUT'!$A$3:$A$3000,"&gt;="&amp;DATE(2017,4,1),'DATA INPUT'!$A$3:$A$3000,"&lt;"&amp;DATE(2017,4,31)),#N/A),IFERROR((SUMIFS('DATA INPUT'!$E$3:$E$3000,'DATA INPUT'!$B$3:$B$3000,'Report Tables'!AX$1,'DATA INPUT'!$A$3:$A$3000,"&gt;="&amp;DATE(2017,4,1),'DATA INPUT'!$A$3:$A$3000,"&lt;"&amp;DATE(2017,4,31),'DATA INPUT'!$F$3:$F$3000,"&lt;&gt;*Exclude*"))/(COUNTIFS('DATA INPUT'!$B$3:$B$3000,'Report Tables'!AX$1,'DATA INPUT'!$A$3:$A$3000,"&gt;="&amp;DATE(2017,4,1),'DATA INPUT'!$A$3:$A$3000,"&lt;"&amp;DATE(2017,4,31),'DATA INPUT'!$F$3:$F$3000,"&lt;&gt;*Exclude*")),#N/A))</f>
        <v>#N/A</v>
      </c>
      <c r="AY6" s="117" t="e">
        <f>IF($L$2="Yes",IFERROR((SUMIFS('DATA INPUT'!$D$3:$D$3000,'DATA INPUT'!$B$3:$B$3000,'Report Tables'!AX$1,'DATA INPUT'!$A$3:$A$3000,"&gt;="&amp;DATE(2017,4,1),'DATA INPUT'!$A$3:$A$3000,"&lt;"&amp;DATE(2017,4,31)))/COUNTIFS('DATA INPUT'!$B$3:$B$3000,'Report Tables'!AX$1,'DATA INPUT'!$A$3:$A$3000,"&gt;="&amp;DATE(2017,4,1),'DATA INPUT'!$A$3:$A$3000,"&lt;"&amp;DATE(2017,4,31)),#N/A),IFERROR((SUMIFS('DATA INPUT'!$D$3:$D$3000,'DATA INPUT'!$B$3:$B$3000,'Report Tables'!AX$1,'DATA INPUT'!$A$3:$A$3000,"&gt;="&amp;DATE(2017,4,1),'DATA INPUT'!$A$3:$A$3000,"&lt;"&amp;DATE(2017,4,31),'DATA INPUT'!$F$3:$F$3000,"&lt;&gt;*Exclude*"))/(COUNTIFS('DATA INPUT'!$B$3:$B$3000,'Report Tables'!AX$1,'DATA INPUT'!$A$3:$A$3000,"&gt;="&amp;DATE(2017,4,1),'DATA INPUT'!$A$3:$A$3000,"&lt;"&amp;DATE(2017,4,31),'DATA INPUT'!$F$3:$F$3000,"&lt;&gt;*Exclude*")),#N/A))</f>
        <v>#N/A</v>
      </c>
      <c r="AZ6" s="117" t="e">
        <f>IF($L$2="Yes",IFERROR((SUMIFS('DATA INPUT'!$C$3:$C$3000,'DATA INPUT'!$B$3:$B$3000,'Report Tables'!AX$1,'DATA INPUT'!$A$3:$A$3000,"&gt;="&amp;DATE(2017,4,1),'DATA INPUT'!$A$3:$A$3000,"&lt;"&amp;DATE(2017,4,31)))/COUNTIFS('DATA INPUT'!$B$3:$B$3000,'Report Tables'!AX$1,'DATA INPUT'!$A$3:$A$3000,"&gt;="&amp;DATE(2017,4,1),'DATA INPUT'!$A$3:$A$3000,"&lt;"&amp;DATE(2017,4,31)),#N/A),IFERROR((SUMIFS('DATA INPUT'!$C$3:$C$3000,'DATA INPUT'!$B$3:$B$3000,'Report Tables'!AX$1,'DATA INPUT'!$A$3:$A$3000,"&gt;="&amp;DATE(2017,4,1),'DATA INPUT'!$A$3:$A$3000,"&lt;"&amp;DATE(2017,4,31),'DATA INPUT'!$F$3:$F$3000,"&lt;&gt;*Exclude*"))/(COUNTIFS('DATA INPUT'!$B$3:$B$3000,'Report Tables'!AX$1,'DATA INPUT'!$A$3:$A$3000,"&gt;="&amp;DATE(2017,4,1),'DATA INPUT'!$A$3:$A$3000,"&lt;"&amp;DATE(2017,4,31),'DATA INPUT'!$F$3:$F$3000,"&lt;&gt;*Exclude*")),#N/A))</f>
        <v>#N/A</v>
      </c>
    </row>
    <row r="7" spans="1:52" x14ac:dyDescent="0.3">
      <c r="A7" s="95" t="e">
        <f>VLOOKUP(B7,Information!$C$8:$F$15,4,FALSE)</f>
        <v>#N/A</v>
      </c>
      <c r="B7" s="52">
        <f>Information!C10</f>
        <v>0</v>
      </c>
      <c r="C7" s="59">
        <f>IF($L$2="Yes",(COUNTIFS('DATA INPUT'!$A$3:$A$3000,"&gt;="&amp;DATE(2017,1,1),'DATA INPUT'!$A$3:$A$3000,"&lt;="&amp;DATE(2017,12,31),'DATA INPUT'!$B$3:$B$3000,$B7)),(COUNTIFS('DATA INPUT'!$A$3:$A$3000,"&gt;="&amp;DATE(2017,1,1),'DATA INPUT'!$A$3:$A$3000,"&lt;="&amp;DATE(2017,12,31),'DATA INPUT'!$B$3:$B$3000,$B7,'DATA INPUT'!$F$3:$F$3000,"&lt;&gt;*Exclude*")))</f>
        <v>0</v>
      </c>
      <c r="D7" s="59">
        <f>IF($L$2="Yes",(COUNTIFS('DATA INPUT'!$A$3:$A$3000,"&gt;="&amp;DATE(2018,1,1),'DATA INPUT'!$A$3:$A$3000,"&lt;="&amp;DATE(2018,12,31),'DATA INPUT'!$B$3:$B$3000,$B7)),(COUNTIFS('DATA INPUT'!$A$3:$A$3000,"&gt;="&amp;DATE(2018,1,1),'DATA INPUT'!$A$3:$A$3000,"&lt;="&amp;DATE(2018,12,31),'DATA INPUT'!$B$3:$B$3000,$B7,'DATA INPUT'!$F$3:$F$3000,"&lt;&gt;*Exclude*")))</f>
        <v>0</v>
      </c>
      <c r="E7" s="59">
        <f>IF($L$2="Yes",(COUNTIFS('DATA INPUT'!$A$3:$A$3000,"&gt;="&amp;DATE(2019,1,1),'DATA INPUT'!$A$3:$A$3000,"&lt;="&amp;DATE(2019,12,31),'DATA INPUT'!$B$3:$B$3000,$B7)),(COUNTIFS('DATA INPUT'!$A$3:$A$3000,"&gt;="&amp;DATE(2019,1,1),'DATA INPUT'!$A$3:$A$3000,"&lt;="&amp;DATE(2019,12,31),'DATA INPUT'!$B$3:$B$3000,$B7,'DATA INPUT'!$F$3:$F$3000,"&lt;&gt;*Exclude*")))</f>
        <v>0</v>
      </c>
      <c r="F7" s="59">
        <f>IF($L$2="Yes",(COUNTIFS('DATA INPUT'!$A$3:$A$3000,"&gt;="&amp;DATE(2020,1,1),'DATA INPUT'!$A$3:$A$3000,"&lt;="&amp;DATE(2020,12,31),'DATA INPUT'!$B$3:$B$3000,$B7)),(COUNTIFS('DATA INPUT'!$A$3:$A$3000,"&gt;="&amp;DATE(2020,1,1),'DATA INPUT'!$A$3:$A$3000,"&lt;="&amp;DATE(2020,12,31),'DATA INPUT'!$B$3:$B$3000,$B7,'DATA INPUT'!$F$3:$F$3000,"&lt;&gt;*Exclude*")))</f>
        <v>0</v>
      </c>
      <c r="G7" s="59">
        <f>IF($L$2="Yes",(COUNTIFS('DATA INPUT'!$A$3:$A$3000,"&gt;="&amp;DATE(2021,1,1),'DATA INPUT'!$A$3:$A$3000,"&lt;="&amp;DATE(2021,12,31),'DATA INPUT'!$B$3:$B$3000,$B7)),(COUNTIFS('DATA INPUT'!$A$3:$A$3000,"&gt;="&amp;DATE(2021,1,1),'DATA INPUT'!$A$3:$A$3000,"&lt;="&amp;DATE(2021,12,31),'DATA INPUT'!$B$3:$B$3000,$B7,'DATA INPUT'!$F$3:$F$3000,"&lt;&gt;*Exclude*")))</f>
        <v>0</v>
      </c>
      <c r="H7" s="59">
        <f>IF($L$2="Yes",(COUNTIFS('DATA INPUT'!$A$3:$A$3000,"&gt;="&amp;DATE(2022,1,1),'DATA INPUT'!$A$3:$A$3000,"&lt;="&amp;DATE(2022,12,31),'DATA INPUT'!$B$3:$B$3000,$B7)),(COUNTIFS('DATA INPUT'!$A$3:$A$3000,"&gt;="&amp;DATE(2022,1,1),'DATA INPUT'!$A$3:$A$3000,"&lt;="&amp;DATE(2022,12,31),'DATA INPUT'!$B$3:$B$3000,$B7,'DATA INPUT'!$F$3:$F$3000,"&lt;&gt;*Exclude*")))</f>
        <v>0</v>
      </c>
      <c r="I7" s="59">
        <f>IF($L$2="Yes",(COUNTIFS('DATA INPUT'!$A$3:$A$3000,"&gt;="&amp;DATE(2023,1,1),'DATA INPUT'!$A$3:$A$3000,"&lt;="&amp;DATE(2023,12,31),'DATA INPUT'!$B$3:$B$3000,$B7)),(COUNTIFS('DATA INPUT'!$A$3:$A$3000,"&gt;="&amp;DATE(2023,1,1),'DATA INPUT'!$A$3:$A$3000,"&lt;="&amp;DATE(2023,12,31),'DATA INPUT'!$B$3:$B$3000,$B7,'DATA INPUT'!$F$3:$F$3000,"&lt;&gt;*Exclude*")))</f>
        <v>0</v>
      </c>
      <c r="J7" s="59">
        <f>IF($L$2="Yes",(COUNTIFS('DATA INPUT'!$A$3:$A$3000,"&gt;="&amp;DATE(2024,1,1),'DATA INPUT'!$A$3:$A$3000,"&lt;="&amp;DATE(2024,12,31),'DATA INPUT'!$B$3:$B$3000,$B7)),(COUNTIFS('DATA INPUT'!$A$3:$A$3000,"&gt;="&amp;DATE(2024,1,1),'DATA INPUT'!$A$3:$A$3000,"&lt;="&amp;DATE(2024,12,31),'DATA INPUT'!$B$3:$B$3000,$B7,'DATA INPUT'!$F$3:$F$3000,"&lt;&gt;*Exclude*")))</f>
        <v>0</v>
      </c>
      <c r="K7" s="59">
        <f>IF($L$2="Yes",(COUNTIFS('DATA INPUT'!$A$3:$A$3000,"&gt;="&amp;DATE(2025,1,1),'DATA INPUT'!$A$3:$A$3000,"&lt;="&amp;DATE(2025,12,31),'DATA INPUT'!$B$3:$B$3000,$B7)),(COUNTIFS('DATA INPUT'!$A$3:$A$3000,"&gt;="&amp;DATE(2025,1,1),'DATA INPUT'!$A$3:$A$3000,"&lt;="&amp;DATE(2025,12,31),'DATA INPUT'!$B$3:$B$3000,$B7,'DATA INPUT'!$F$3:$F$3000,"&lt;&gt;*Exclude*")))</f>
        <v>0</v>
      </c>
      <c r="L7" s="48">
        <f t="shared" si="3"/>
        <v>0</v>
      </c>
      <c r="M7" s="49" t="str">
        <f t="shared" si="4"/>
        <v/>
      </c>
      <c r="P7" s="226"/>
      <c r="Q7" s="226"/>
      <c r="R7" s="226"/>
      <c r="S7" s="230"/>
      <c r="T7" s="230"/>
      <c r="U7" s="230"/>
      <c r="V7" s="230"/>
      <c r="W7" s="230"/>
      <c r="X7" s="229"/>
      <c r="Y7" s="149"/>
      <c r="Z7" s="149" t="s">
        <v>16</v>
      </c>
      <c r="AA7" s="136" t="e">
        <f>IF($L$2="Yes",IF(SUMIFS('DATA INPUT'!$E$3:$E$3000,'DATA INPUT'!$B$3:$B$3000,'Report Tables'!AA$1,'DATA INPUT'!$A$3:$A$3000,"&gt;="&amp;DATE(2017,5,1),'DATA INPUT'!$A$3:$A$3000,"&lt;"&amp;DATE(2017,5,31))=0,#N/A,(SUMIFS('DATA INPUT'!$E$3:$E$3000,'DATA INPUT'!$B$3:$B$3000,'Report Tables'!AA$1,'DATA INPUT'!$A$3:$A$3000,"&gt;="&amp;DATE(2017,5,1),'DATA INPUT'!$A$3:$A$3000,"&lt;"&amp;DATE(2017,5,31)))),IF(SUMIFS('DATA INPUT'!$E$3:$E$3000,'DATA INPUT'!$B$3:$B$3000,'Report Tables'!AA$1,'DATA INPUT'!$A$3:$A$3000,"&gt;="&amp;DATE(2017,5,1),'DATA INPUT'!$A$3:$A$3000,"&lt;"&amp;DATE(2017,5,31),'DATA INPUT'!$F$3:$F$3000,"&lt;&gt;*Exclude*")=0,#N/A,(SUMIFS('DATA INPUT'!$E$3:$E$3000,'DATA INPUT'!$B$3:$B$3000,'Report Tables'!AA$1,'DATA INPUT'!$A$3:$A$3000,"&gt;="&amp;DATE(2017,5,1),'DATA INPUT'!$A$3:$A$3000,"&lt;"&amp;DATE(2017,5,31),'DATA INPUT'!$F$3:$F$3000,"&lt;&gt;*Exclude*"))))</f>
        <v>#N/A</v>
      </c>
      <c r="AB7" s="136" t="e">
        <f>IF($L$2="Yes",IF(SUMIFS('DATA INPUT'!$E$3:$E$3000,'DATA INPUT'!$B$3:$B$3000,'Report Tables'!AB$1,'DATA INPUT'!$A$3:$A$3000,"&gt;="&amp;DATE(2017,5,1),'DATA INPUT'!$A$3:$A$3000,"&lt;"&amp;DATE(2017,5,31))=0,#N/A,(SUMIFS('DATA INPUT'!$E$3:$E$3000,'DATA INPUT'!$B$3:$B$3000,'Report Tables'!AB$1,'DATA INPUT'!$A$3:$A$3000,"&gt;="&amp;DATE(2017,5,1),'DATA INPUT'!$A$3:$A$3000,"&lt;"&amp;DATE(2017,5,31)))),IF(SUMIFS('DATA INPUT'!$E$3:$E$3000,'DATA INPUT'!$B$3:$B$3000,'Report Tables'!AB$1,'DATA INPUT'!$A$3:$A$3000,"&gt;="&amp;DATE(2017,5,1),'DATA INPUT'!$A$3:$A$3000,"&lt;"&amp;DATE(2017,5,31),'DATA INPUT'!$F$3:$F$3000,"&lt;&gt;*Exclude*")=0,#N/A,(SUMIFS('DATA INPUT'!$E$3:$E$3000,'DATA INPUT'!$B$3:$B$3000,'Report Tables'!AB$1,'DATA INPUT'!$A$3:$A$3000,"&gt;="&amp;DATE(2017,5,1),'DATA INPUT'!$A$3:$A$3000,"&lt;"&amp;DATE(2017,5,31),'DATA INPUT'!$F$3:$F$3000,"&lt;&gt;*Exclude*"))))</f>
        <v>#N/A</v>
      </c>
      <c r="AC7" s="136" t="e">
        <f>IF($L$2="Yes",IF(SUMIFS('DATA INPUT'!$E$3:$E$3000,'DATA INPUT'!$B$3:$B$3000,'Report Tables'!AC$1,'DATA INPUT'!$A$3:$A$3000,"&gt;="&amp;DATE(2017,5,1),'DATA INPUT'!$A$3:$A$3000,"&lt;"&amp;DATE(2017,5,31))=0,#N/A,(SUMIFS('DATA INPUT'!$E$3:$E$3000,'DATA INPUT'!$B$3:$B$3000,'Report Tables'!AC$1,'DATA INPUT'!$A$3:$A$3000,"&gt;="&amp;DATE(2017,5,1),'DATA INPUT'!$A$3:$A$3000,"&lt;"&amp;DATE(2017,5,31)))),IF(SUMIFS('DATA INPUT'!$E$3:$E$3000,'DATA INPUT'!$B$3:$B$3000,'Report Tables'!AC$1,'DATA INPUT'!$A$3:$A$3000,"&gt;="&amp;DATE(2017,5,1),'DATA INPUT'!$A$3:$A$3000,"&lt;"&amp;DATE(2017,5,31),'DATA INPUT'!$F$3:$F$3000,"&lt;&gt;*Exclude*")=0,#N/A,(SUMIFS('DATA INPUT'!$E$3:$E$3000,'DATA INPUT'!$B$3:$B$3000,'Report Tables'!AC$1,'DATA INPUT'!$A$3:$A$3000,"&gt;="&amp;DATE(2017,5,1),'DATA INPUT'!$A$3:$A$3000,"&lt;"&amp;DATE(2017,5,31),'DATA INPUT'!$F$3:$F$3000,"&lt;&gt;*Exclude*"))))</f>
        <v>#N/A</v>
      </c>
      <c r="AD7" s="136" t="e">
        <f>IF($L$2="Yes",IF(SUMIFS('DATA INPUT'!$E$3:$E$3000,'DATA INPUT'!$B$3:$B$3000,'Report Tables'!AD$1,'DATA INPUT'!$A$3:$A$3000,"&gt;="&amp;DATE(2017,5,1),'DATA INPUT'!$A$3:$A$3000,"&lt;"&amp;DATE(2017,5,31))=0,#N/A,(SUMIFS('DATA INPUT'!$E$3:$E$3000,'DATA INPUT'!$B$3:$B$3000,'Report Tables'!AD$1,'DATA INPUT'!$A$3:$A$3000,"&gt;="&amp;DATE(2017,5,1),'DATA INPUT'!$A$3:$A$3000,"&lt;"&amp;DATE(2017,5,31)))),IF(SUMIFS('DATA INPUT'!$E$3:$E$3000,'DATA INPUT'!$B$3:$B$3000,'Report Tables'!AD$1,'DATA INPUT'!$A$3:$A$3000,"&gt;="&amp;DATE(2017,5,1),'DATA INPUT'!$A$3:$A$3000,"&lt;"&amp;DATE(2017,5,31),'DATA INPUT'!$F$3:$F$3000,"&lt;&gt;*Exclude*")=0,#N/A,(SUMIFS('DATA INPUT'!$E$3:$E$3000,'DATA INPUT'!$B$3:$B$3000,'Report Tables'!AD$1,'DATA INPUT'!$A$3:$A$3000,"&gt;="&amp;DATE(2017,5,1),'DATA INPUT'!$A$3:$A$3000,"&lt;"&amp;DATE(2017,5,31),'DATA INPUT'!$F$3:$F$3000,"&lt;&gt;*Exclude*"))))</f>
        <v>#N/A</v>
      </c>
      <c r="AE7" s="136" t="e">
        <f>IF($L$2="Yes",IF(SUMIFS('DATA INPUT'!$E$3:$E$3000,'DATA INPUT'!$B$3:$B$3000,'Report Tables'!AE$1,'DATA INPUT'!$A$3:$A$3000,"&gt;="&amp;DATE(2017,5,1),'DATA INPUT'!$A$3:$A$3000,"&lt;"&amp;DATE(2017,5,31))=0,#N/A,(SUMIFS('DATA INPUT'!$E$3:$E$3000,'DATA INPUT'!$B$3:$B$3000,'Report Tables'!AE$1,'DATA INPUT'!$A$3:$A$3000,"&gt;="&amp;DATE(2017,5,1),'DATA INPUT'!$A$3:$A$3000,"&lt;"&amp;DATE(2017,5,31)))),IF(SUMIFS('DATA INPUT'!$E$3:$E$3000,'DATA INPUT'!$B$3:$B$3000,'Report Tables'!AE$1,'DATA INPUT'!$A$3:$A$3000,"&gt;="&amp;DATE(2017,5,1),'DATA INPUT'!$A$3:$A$3000,"&lt;"&amp;DATE(2017,5,31),'DATA INPUT'!$F$3:$F$3000,"&lt;&gt;*Exclude*")=0,#N/A,(SUMIFS('DATA INPUT'!$E$3:$E$3000,'DATA INPUT'!$B$3:$B$3000,'Report Tables'!AE$1,'DATA INPUT'!$A$3:$A$3000,"&gt;="&amp;DATE(2017,5,1),'DATA INPUT'!$A$3:$A$3000,"&lt;"&amp;DATE(2017,5,31),'DATA INPUT'!$F$3:$F$3000,"&lt;&gt;*Exclude*"))))</f>
        <v>#N/A</v>
      </c>
      <c r="AF7" s="136" t="e">
        <f>IF($L$2="Yes",IF(SUMIFS('DATA INPUT'!$E$3:$E$3000,'DATA INPUT'!$B$3:$B$3000,'Report Tables'!AF$1,'DATA INPUT'!$A$3:$A$3000,"&gt;="&amp;DATE(2017,5,1),'DATA INPUT'!$A$3:$A$3000,"&lt;"&amp;DATE(2017,5,31))=0,#N/A,(SUMIFS('DATA INPUT'!$E$3:$E$3000,'DATA INPUT'!$B$3:$B$3000,'Report Tables'!AF$1,'DATA INPUT'!$A$3:$A$3000,"&gt;="&amp;DATE(2017,5,1),'DATA INPUT'!$A$3:$A$3000,"&lt;"&amp;DATE(2017,5,31)))),IF(SUMIFS('DATA INPUT'!$E$3:$E$3000,'DATA INPUT'!$B$3:$B$3000,'Report Tables'!AF$1,'DATA INPUT'!$A$3:$A$3000,"&gt;="&amp;DATE(2017,5,1),'DATA INPUT'!$A$3:$A$3000,"&lt;"&amp;DATE(2017,5,31),'DATA INPUT'!$F$3:$F$3000,"&lt;&gt;*Exclude*")=0,#N/A,(SUMIFS('DATA INPUT'!$E$3:$E$3000,'DATA INPUT'!$B$3:$B$3000,'Report Tables'!AF$1,'DATA INPUT'!$A$3:$A$3000,"&gt;="&amp;DATE(2017,5,1),'DATA INPUT'!$A$3:$A$3000,"&lt;"&amp;DATE(2017,5,31),'DATA INPUT'!$F$3:$F$3000,"&lt;&gt;*Exclude*"))))</f>
        <v>#N/A</v>
      </c>
      <c r="AG7" s="136" t="e">
        <f>IF($L$2="Yes",IF(SUMIFS('DATA INPUT'!$E$3:$E$3000,'DATA INPUT'!$B$3:$B$3000,'Report Tables'!AG$1,'DATA INPUT'!$A$3:$A$3000,"&gt;="&amp;DATE(2017,5,1),'DATA INPUT'!$A$3:$A$3000,"&lt;"&amp;DATE(2017,5,31))=0,#N/A,(SUMIFS('DATA INPUT'!$E$3:$E$3000,'DATA INPUT'!$B$3:$B$3000,'Report Tables'!AG$1,'DATA INPUT'!$A$3:$A$3000,"&gt;="&amp;DATE(2017,5,1),'DATA INPUT'!$A$3:$A$3000,"&lt;"&amp;DATE(2017,5,31)))),IF(SUMIFS('DATA INPUT'!$E$3:$E$3000,'DATA INPUT'!$B$3:$B$3000,'Report Tables'!AG$1,'DATA INPUT'!$A$3:$A$3000,"&gt;="&amp;DATE(2017,5,1),'DATA INPUT'!$A$3:$A$3000,"&lt;"&amp;DATE(2017,5,31),'DATA INPUT'!$F$3:$F$3000,"&lt;&gt;*Exclude*")=0,#N/A,(SUMIFS('DATA INPUT'!$E$3:$E$3000,'DATA INPUT'!$B$3:$B$3000,'Report Tables'!AG$1,'DATA INPUT'!$A$3:$A$3000,"&gt;="&amp;DATE(2017,5,1),'DATA INPUT'!$A$3:$A$3000,"&lt;"&amp;DATE(2017,5,31),'DATA INPUT'!$F$3:$F$3000,"&lt;&gt;*Exclude*"))))</f>
        <v>#N/A</v>
      </c>
      <c r="AH7" s="136" t="e">
        <f>IF($L$2="Yes",IF(SUMIFS('DATA INPUT'!$E$3:$E$3000,'DATA INPUT'!$B$3:$B$3000,'Report Tables'!AH$1,'DATA INPUT'!$A$3:$A$3000,"&gt;="&amp;DATE(2017,5,1),'DATA INPUT'!$A$3:$A$3000,"&lt;"&amp;DATE(2017,5,31))=0,#N/A,(SUMIFS('DATA INPUT'!$E$3:$E$3000,'DATA INPUT'!$B$3:$B$3000,'Report Tables'!AH$1,'DATA INPUT'!$A$3:$A$3000,"&gt;="&amp;DATE(2017,5,1),'DATA INPUT'!$A$3:$A$3000,"&lt;"&amp;DATE(2017,5,31)))),IF(SUMIFS('DATA INPUT'!$E$3:$E$3000,'DATA INPUT'!$B$3:$B$3000,'Report Tables'!AH$1,'DATA INPUT'!$A$3:$A$3000,"&gt;="&amp;DATE(2017,5,1),'DATA INPUT'!$A$3:$A$3000,"&lt;"&amp;DATE(2017,5,31),'DATA INPUT'!$F$3:$F$3000,"&lt;&gt;*Exclude*")=0,#N/A,(SUMIFS('DATA INPUT'!$E$3:$E$3000,'DATA INPUT'!$B$3:$B$3000,'Report Tables'!AH$1,'DATA INPUT'!$A$3:$A$3000,"&gt;="&amp;DATE(2017,5,1),'DATA INPUT'!$A$3:$A$3000,"&lt;"&amp;DATE(2017,5,31),'DATA INPUT'!$F$3:$F$3000,"&lt;&gt;*Exclude*"))))</f>
        <v>#N/A</v>
      </c>
      <c r="AI7" s="136" t="e">
        <f t="shared" si="0"/>
        <v>#N/A</v>
      </c>
      <c r="AJ7" s="136" t="e">
        <f>IF($L$2="Yes",IF(SUMIFS('DATA INPUT'!$D$3:$D$3000,'DATA INPUT'!$A$3:$A$3000,"&gt;="&amp;DATE(2017,5,1),'DATA INPUT'!$A$3:$A$3000,"&lt;"&amp;DATE(2017,5,31),'DATA INPUT'!$G$3:$G$3000,"&lt;&gt;*School service*")=0,#N/A,(SUMIFS('DATA INPUT'!$D$3:$D$3000,'DATA INPUT'!$A$3:$A$3000,"&gt;="&amp;DATE(2017,5,1),'DATA INPUT'!$A$3:$A$3000,"&lt;"&amp;DATE(2017,5,31),'DATA INPUT'!$G$3:$G$3000,"&lt;&gt;*School service*"))),IF(SUMIFS('DATA INPUT'!$D$3:$D$3000,'DATA INPUT'!$A$3:$A$3000,"&gt;="&amp;DATE(2017,5,1),'DATA INPUT'!$A$3:$A$3000,"&lt;"&amp;DATE(2017,5,31),'DATA INPUT'!$F$3:$F$3000,"&lt;&gt;*Exclude*",'DATA INPUT'!$G$3:$G$3000,"&lt;&gt;*School service*")=0,#N/A,(SUMIFS('DATA INPUT'!$D$3:$D$3000,'DATA INPUT'!$A$3:$A$3000,"&gt;="&amp;DATE(2017,5,1),'DATA INPUT'!$A$3:$A$3000,"&lt;"&amp;DATE(2017,5,31),'DATA INPUT'!$F$3:$F$3000,"&lt;&gt;*Exclude*",'DATA INPUT'!$G$3:$G$3000,"&lt;&gt;*School service*"))))</f>
        <v>#N/A</v>
      </c>
      <c r="AK7" s="136" t="e">
        <f>AI7-AJ7</f>
        <v>#N/A</v>
      </c>
      <c r="AM7" s="117" t="e">
        <f>IF($L$2="Yes",IFERROR((SUMIFS('DATA INPUT'!$E$3:$E$3000,'DATA INPUT'!$B$3:$B$3000,'Report Tables'!AM$1,'DATA INPUT'!$A$3:$A$3000,"&gt;="&amp;DATE(2017,5,1),'DATA INPUT'!$A$3:$A$3000,"&lt;"&amp;DATE(2017,5,31)))/COUNTIFS('DATA INPUT'!$B$3:$B$3000,'Report Tables'!AM$1,'DATA INPUT'!$A$3:$A$3000,"&gt;="&amp;DATE(2017,5,1),'DATA INPUT'!$A$3:$A$3000,"&lt;"&amp;DATE(2017,5,31)),#N/A),IFERROR((SUMIFS('DATA INPUT'!$E$3:$E$3000,'DATA INPUT'!$B$3:$B$3000,'Report Tables'!AM$1,'DATA INPUT'!$A$3:$A$3000,"&gt;="&amp;DATE(2017,5,1),'DATA INPUT'!$A$3:$A$3000,"&lt;"&amp;DATE(2017,5,31),'DATA INPUT'!$F$3:$F$3000,"&lt;&gt;*Exclude*"))/(COUNTIFS('DATA INPUT'!$B$3:$B$3000,'Report Tables'!AM$1,'DATA INPUT'!$A$3:$A$3000,"&gt;="&amp;DATE(2017,5,1),'DATA INPUT'!$A$3:$A$3000,"&lt;"&amp;DATE(2017,5,31),'DATA INPUT'!$F$3:$F$3000,"&lt;&gt;*Exclude*")),#N/A))</f>
        <v>#N/A</v>
      </c>
      <c r="AN7" s="117" t="e">
        <f>IF($L$2="Yes",IFERROR((SUMIFS('DATA INPUT'!$E$3:$E$3000,'DATA INPUT'!$B$3:$B$3000,'Report Tables'!AN$1,'DATA INPUT'!$A$3:$A$3000,"&gt;="&amp;DATE(2017,5,1),'DATA INPUT'!$A$3:$A$3000,"&lt;"&amp;DATE(2017,5,31)))/COUNTIFS('DATA INPUT'!$B$3:$B$3000,'Report Tables'!AN$1,'DATA INPUT'!$A$3:$A$3000,"&gt;="&amp;DATE(2017,5,1),'DATA INPUT'!$A$3:$A$3000,"&lt;"&amp;DATE(2017,5,31)),#N/A),IFERROR((SUMIFS('DATA INPUT'!$E$3:$E$3000,'DATA INPUT'!$B$3:$B$3000,'Report Tables'!AN$1,'DATA INPUT'!$A$3:$A$3000,"&gt;="&amp;DATE(2017,5,1),'DATA INPUT'!$A$3:$A$3000,"&lt;"&amp;DATE(2017,5,31),'DATA INPUT'!$F$3:$F$3000,"&lt;&gt;*Exclude*"))/(COUNTIFS('DATA INPUT'!$B$3:$B$3000,'Report Tables'!AN$1,'DATA INPUT'!$A$3:$A$3000,"&gt;="&amp;DATE(2017,5,1),'DATA INPUT'!$A$3:$A$3000,"&lt;"&amp;DATE(2017,5,31),'DATA INPUT'!$F$3:$F$3000,"&lt;&gt;*Exclude*")),#N/A))</f>
        <v>#N/A</v>
      </c>
      <c r="AO7" s="117" t="e">
        <f>IF($L$2="Yes",IFERROR((SUMIFS('DATA INPUT'!$E$3:$E$3000,'DATA INPUT'!$B$3:$B$3000,'Report Tables'!AO$1,'DATA INPUT'!$A$3:$A$3000,"&gt;="&amp;DATE(2017,5,1),'DATA INPUT'!$A$3:$A$3000,"&lt;"&amp;DATE(2017,5,31)))/COUNTIFS('DATA INPUT'!$B$3:$B$3000,'Report Tables'!AO$1,'DATA INPUT'!$A$3:$A$3000,"&gt;="&amp;DATE(2017,5,1),'DATA INPUT'!$A$3:$A$3000,"&lt;"&amp;DATE(2017,5,31)),#N/A),IFERROR((SUMIFS('DATA INPUT'!$E$3:$E$3000,'DATA INPUT'!$B$3:$B$3000,'Report Tables'!AO$1,'DATA INPUT'!$A$3:$A$3000,"&gt;="&amp;DATE(2017,5,1),'DATA INPUT'!$A$3:$A$3000,"&lt;"&amp;DATE(2017,5,31),'DATA INPUT'!$F$3:$F$3000,"&lt;&gt;*Exclude*"))/(COUNTIFS('DATA INPUT'!$B$3:$B$3000,'Report Tables'!AO$1,'DATA INPUT'!$A$3:$A$3000,"&gt;="&amp;DATE(2017,5,1),'DATA INPUT'!$A$3:$A$3000,"&lt;"&amp;DATE(2017,5,31),'DATA INPUT'!$F$3:$F$3000,"&lt;&gt;*Exclude*")),#N/A))</f>
        <v>#N/A</v>
      </c>
      <c r="AP7" s="117" t="e">
        <f>IF($L$2="Yes",IFERROR((SUMIFS('DATA INPUT'!$E$3:$E$3000,'DATA INPUT'!$B$3:$B$3000,'Report Tables'!AP$1,'DATA INPUT'!$A$3:$A$3000,"&gt;="&amp;DATE(2017,5,1),'DATA INPUT'!$A$3:$A$3000,"&lt;"&amp;DATE(2017,5,31)))/COUNTIFS('DATA INPUT'!$B$3:$B$3000,'Report Tables'!AP$1,'DATA INPUT'!$A$3:$A$3000,"&gt;="&amp;DATE(2017,5,1),'DATA INPUT'!$A$3:$A$3000,"&lt;"&amp;DATE(2017,5,31)),#N/A),IFERROR((SUMIFS('DATA INPUT'!$E$3:$E$3000,'DATA INPUT'!$B$3:$B$3000,'Report Tables'!AP$1,'DATA INPUT'!$A$3:$A$3000,"&gt;="&amp;DATE(2017,5,1),'DATA INPUT'!$A$3:$A$3000,"&lt;"&amp;DATE(2017,5,31),'DATA INPUT'!$F$3:$F$3000,"&lt;&gt;*Exclude*"))/(COUNTIFS('DATA INPUT'!$B$3:$B$3000,'Report Tables'!AP$1,'DATA INPUT'!$A$3:$A$3000,"&gt;="&amp;DATE(2017,5,1),'DATA INPUT'!$A$3:$A$3000,"&lt;"&amp;DATE(2017,5,31),'DATA INPUT'!$F$3:$F$3000,"&lt;&gt;*Exclude*")),#N/A))</f>
        <v>#N/A</v>
      </c>
      <c r="AQ7" s="117" t="e">
        <f>IF($L$2="Yes",IFERROR((SUMIFS('DATA INPUT'!$E$3:$E$3000,'DATA INPUT'!$B$3:$B$3000,'Report Tables'!AQ$1,'DATA INPUT'!$A$3:$A$3000,"&gt;="&amp;DATE(2017,5,1),'DATA INPUT'!$A$3:$A$3000,"&lt;"&amp;DATE(2017,5,31)))/COUNTIFS('DATA INPUT'!$B$3:$B$3000,'Report Tables'!AQ$1,'DATA INPUT'!$A$3:$A$3000,"&gt;="&amp;DATE(2017,5,1),'DATA INPUT'!$A$3:$A$3000,"&lt;"&amp;DATE(2017,5,31)),#N/A),IFERROR((SUMIFS('DATA INPUT'!$E$3:$E$3000,'DATA INPUT'!$B$3:$B$3000,'Report Tables'!AQ$1,'DATA INPUT'!$A$3:$A$3000,"&gt;="&amp;DATE(2017,5,1),'DATA INPUT'!$A$3:$A$3000,"&lt;"&amp;DATE(2017,5,31),'DATA INPUT'!$F$3:$F$3000,"&lt;&gt;*Exclude*"))/(COUNTIFS('DATA INPUT'!$B$3:$B$3000,'Report Tables'!AQ$1,'DATA INPUT'!$A$3:$A$3000,"&gt;="&amp;DATE(2017,5,1),'DATA INPUT'!$A$3:$A$3000,"&lt;"&amp;DATE(2017,5,31),'DATA INPUT'!$F$3:$F$3000,"&lt;&gt;*Exclude*")),#N/A))</f>
        <v>#N/A</v>
      </c>
      <c r="AR7" s="117" t="e">
        <f>IF($L$2="Yes",IFERROR((SUMIFS('DATA INPUT'!$E$3:$E$3000,'DATA INPUT'!$B$3:$B$3000,'Report Tables'!AR$1,'DATA INPUT'!$A$3:$A$3000,"&gt;="&amp;DATE(2017,5,1),'DATA INPUT'!$A$3:$A$3000,"&lt;"&amp;DATE(2017,5,31)))/COUNTIFS('DATA INPUT'!$B$3:$B$3000,'Report Tables'!AR$1,'DATA INPUT'!$A$3:$A$3000,"&gt;="&amp;DATE(2017,5,1),'DATA INPUT'!$A$3:$A$3000,"&lt;"&amp;DATE(2017,5,31)),#N/A),IFERROR((SUMIFS('DATA INPUT'!$E$3:$E$3000,'DATA INPUT'!$B$3:$B$3000,'Report Tables'!AR$1,'DATA INPUT'!$A$3:$A$3000,"&gt;="&amp;DATE(2017,5,1),'DATA INPUT'!$A$3:$A$3000,"&lt;"&amp;DATE(2017,5,31),'DATA INPUT'!$F$3:$F$3000,"&lt;&gt;*Exclude*"))/(COUNTIFS('DATA INPUT'!$B$3:$B$3000,'Report Tables'!AR$1,'DATA INPUT'!$A$3:$A$3000,"&gt;="&amp;DATE(2017,5,1),'DATA INPUT'!$A$3:$A$3000,"&lt;"&amp;DATE(2017,5,31),'DATA INPUT'!$F$3:$F$3000,"&lt;&gt;*Exclude*")),#N/A))</f>
        <v>#N/A</v>
      </c>
      <c r="AS7" s="117" t="e">
        <f>IF($L$2="Yes",IFERROR((SUMIFS('DATA INPUT'!$E$3:$E$3000,'DATA INPUT'!$B$3:$B$3000,'Report Tables'!AS$1,'DATA INPUT'!$A$3:$A$3000,"&gt;="&amp;DATE(2017,5,1),'DATA INPUT'!$A$3:$A$3000,"&lt;"&amp;DATE(2017,5,31)))/COUNTIFS('DATA INPUT'!$B$3:$B$3000,'Report Tables'!AS$1,'DATA INPUT'!$A$3:$A$3000,"&gt;="&amp;DATE(2017,5,1),'DATA INPUT'!$A$3:$A$3000,"&lt;"&amp;DATE(2017,5,31)),#N/A),IFERROR((SUMIFS('DATA INPUT'!$E$3:$E$3000,'DATA INPUT'!$B$3:$B$3000,'Report Tables'!AS$1,'DATA INPUT'!$A$3:$A$3000,"&gt;="&amp;DATE(2017,5,1),'DATA INPUT'!$A$3:$A$3000,"&lt;"&amp;DATE(2017,5,31),'DATA INPUT'!$F$3:$F$3000,"&lt;&gt;*Exclude*"))/(COUNTIFS('DATA INPUT'!$B$3:$B$3000,'Report Tables'!AS$1,'DATA INPUT'!$A$3:$A$3000,"&gt;="&amp;DATE(2017,5,1),'DATA INPUT'!$A$3:$A$3000,"&lt;"&amp;DATE(2017,5,31),'DATA INPUT'!$F$3:$F$3000,"&lt;&gt;*Exclude*")),#N/A))</f>
        <v>#N/A</v>
      </c>
      <c r="AT7" s="117" t="e">
        <f>IF($L$2="Yes",IFERROR((SUMIFS('DATA INPUT'!$E$3:$E$3000,'DATA INPUT'!$B$3:$B$3000,'Report Tables'!AT$1,'DATA INPUT'!$A$3:$A$3000,"&gt;="&amp;DATE(2017,5,1),'DATA INPUT'!$A$3:$A$3000,"&lt;"&amp;DATE(2017,5,31)))/COUNTIFS('DATA INPUT'!$B$3:$B$3000,'Report Tables'!AT$1,'DATA INPUT'!$A$3:$A$3000,"&gt;="&amp;DATE(2017,5,1),'DATA INPUT'!$A$3:$A$3000,"&lt;"&amp;DATE(2017,5,31)),#N/A),IFERROR((SUMIFS('DATA INPUT'!$E$3:$E$3000,'DATA INPUT'!$B$3:$B$3000,'Report Tables'!AT$1,'DATA INPUT'!$A$3:$A$3000,"&gt;="&amp;DATE(2017,5,1),'DATA INPUT'!$A$3:$A$3000,"&lt;"&amp;DATE(2017,5,31),'DATA INPUT'!$F$3:$F$3000,"&lt;&gt;*Exclude*"))/(COUNTIFS('DATA INPUT'!$B$3:$B$3000,'Report Tables'!AT$1,'DATA INPUT'!$A$3:$A$3000,"&gt;="&amp;DATE(2017,5,1),'DATA INPUT'!$A$3:$A$3000,"&lt;"&amp;DATE(2017,5,31),'DATA INPUT'!$F$3:$F$3000,"&lt;&gt;*Exclude*")),#N/A))</f>
        <v>#N/A</v>
      </c>
      <c r="AU7" s="117" t="e">
        <f t="shared" si="1"/>
        <v>#N/A</v>
      </c>
      <c r="AV7" s="117" t="e">
        <f>IF($L$2="Yes",IFERROR((SUMIFS('DATA INPUT'!$D$3:$D$3000,'DATA INPUT'!$A$3:$A$3000,"&gt;="&amp;DATE(2017,5,1),'DATA INPUT'!$A$3:$A$3000,"&lt;"&amp;DATE(2017,5,31),'DATA INPUT'!$G$3:$G$3000,"&lt;&gt;*School service*"))/COUNTIFS('DATA INPUT'!$A$3:$A$3000,"&gt;="&amp;DATE(2017,5,1),'DATA INPUT'!$A$3:$A$3000,"&lt;"&amp;DATE(2017,5,31),'DATA INPUT'!$G$3:$G$3000,"&lt;&gt;*School service*",'DATA INPUT'!$D$3:$D$3000,"&lt;&gt;"&amp;""),#N/A),IFERROR((SUMIFS('DATA INPUT'!$D$3:$D$3000,'DATA INPUT'!$A$3:$A$3000,"&gt;="&amp;DATE(2017,5,1),'DATA INPUT'!$A$3:$A$3000,"&lt;"&amp;DATE(2017,5,31),'DATA INPUT'!$F$3:$F$3000,"&lt;&gt;*Exclude*",'DATA INPUT'!$G$3:$G$3000,"&lt;&gt;*School service*"))/(COUNTIFS('DATA INPUT'!$A$3:$A$3000,"&gt;="&amp;DATE(2017,5,1),'DATA INPUT'!$A$3:$A$3000,"&lt;"&amp;DATE(2017,5,31),'DATA INPUT'!$F$3:$F$3000,"&lt;&gt;*Exclude*",'DATA INPUT'!$G$3:$G$3000,"&lt;&gt;*School service*",'DATA INPUT'!$D$3:$D$3000,"&lt;&gt;"&amp;"")),#N/A))</f>
        <v>#N/A</v>
      </c>
      <c r="AW7" s="117" t="e">
        <f t="shared" si="2"/>
        <v>#N/A</v>
      </c>
      <c r="AX7" s="117" t="e">
        <f>IF($L$2="Yes",IFERROR((SUMIFS('DATA INPUT'!$E$3:$E$3000,'DATA INPUT'!$B$3:$B$3000,'Report Tables'!AX$1,'DATA INPUT'!$A$3:$A$3000,"&gt;="&amp;DATE(2017,5,1),'DATA INPUT'!$A$3:$A$3000,"&lt;"&amp;DATE(2017,5,31)))/COUNTIFS('DATA INPUT'!$B$3:$B$3000,'Report Tables'!AX$1,'DATA INPUT'!$A$3:$A$3000,"&gt;="&amp;DATE(2017,5,1),'DATA INPUT'!$A$3:$A$3000,"&lt;"&amp;DATE(2017,5,31)),#N/A),IFERROR((SUMIFS('DATA INPUT'!$E$3:$E$3000,'DATA INPUT'!$B$3:$B$3000,'Report Tables'!AX$1,'DATA INPUT'!$A$3:$A$3000,"&gt;="&amp;DATE(2017,5,1),'DATA INPUT'!$A$3:$A$3000,"&lt;"&amp;DATE(2017,5,31),'DATA INPUT'!$F$3:$F$3000,"&lt;&gt;*Exclude*"))/(COUNTIFS('DATA INPUT'!$B$3:$B$3000,'Report Tables'!AX$1,'DATA INPUT'!$A$3:$A$3000,"&gt;="&amp;DATE(2017,5,1),'DATA INPUT'!$A$3:$A$3000,"&lt;"&amp;DATE(2017,5,31),'DATA INPUT'!$F$3:$F$3000,"&lt;&gt;*Exclude*")),#N/A))</f>
        <v>#N/A</v>
      </c>
      <c r="AY7" s="117" t="e">
        <f>IF($L$2="Yes",IFERROR((SUMIFS('DATA INPUT'!$D$3:$D$3000,'DATA INPUT'!$B$3:$B$3000,'Report Tables'!AX$1,'DATA INPUT'!$A$3:$A$3000,"&gt;="&amp;DATE(2017,5,1),'DATA INPUT'!$A$3:$A$3000,"&lt;"&amp;DATE(2017,5,31)))/COUNTIFS('DATA INPUT'!$B$3:$B$3000,'Report Tables'!AX$1,'DATA INPUT'!$A$3:$A$3000,"&gt;="&amp;DATE(2017,5,1),'DATA INPUT'!$A$3:$A$3000,"&lt;"&amp;DATE(2017,5,31)),#N/A),IFERROR((SUMIFS('DATA INPUT'!$D$3:$D$3000,'DATA INPUT'!$B$3:$B$3000,'Report Tables'!AX$1,'DATA INPUT'!$A$3:$A$3000,"&gt;="&amp;DATE(2017,5,1),'DATA INPUT'!$A$3:$A$3000,"&lt;"&amp;DATE(2017,5,31),'DATA INPUT'!$F$3:$F$3000,"&lt;&gt;*Exclude*"))/(COUNTIFS('DATA INPUT'!$B$3:$B$3000,'Report Tables'!AX$1,'DATA INPUT'!$A$3:$A$3000,"&gt;="&amp;DATE(2017,5,1),'DATA INPUT'!$A$3:$A$3000,"&lt;"&amp;DATE(2017,5,31),'DATA INPUT'!$F$3:$F$3000,"&lt;&gt;*Exclude*")),#N/A))</f>
        <v>#N/A</v>
      </c>
      <c r="AZ7" s="117" t="e">
        <f>IF($L$2="Yes",IFERROR((SUMIFS('DATA INPUT'!$C$3:$C$3000,'DATA INPUT'!$B$3:$B$3000,'Report Tables'!AX$1,'DATA INPUT'!$A$3:$A$3000,"&gt;="&amp;DATE(2017,5,1),'DATA INPUT'!$A$3:$A$3000,"&lt;"&amp;DATE(2017,5,31)))/COUNTIFS('DATA INPUT'!$B$3:$B$3000,'Report Tables'!AX$1,'DATA INPUT'!$A$3:$A$3000,"&gt;="&amp;DATE(2017,5,1),'DATA INPUT'!$A$3:$A$3000,"&lt;"&amp;DATE(2017,5,31)),#N/A),IFERROR((SUMIFS('DATA INPUT'!$C$3:$C$3000,'DATA INPUT'!$B$3:$B$3000,'Report Tables'!AX$1,'DATA INPUT'!$A$3:$A$3000,"&gt;="&amp;DATE(2017,5,1),'DATA INPUT'!$A$3:$A$3000,"&lt;"&amp;DATE(2017,5,31),'DATA INPUT'!$F$3:$F$3000,"&lt;&gt;*Exclude*"))/(COUNTIFS('DATA INPUT'!$B$3:$B$3000,'Report Tables'!AX$1,'DATA INPUT'!$A$3:$A$3000,"&gt;="&amp;DATE(2017,5,1),'DATA INPUT'!$A$3:$A$3000,"&lt;"&amp;DATE(2017,5,31),'DATA INPUT'!$F$3:$F$3000,"&lt;&gt;*Exclude*")),#N/A))</f>
        <v>#N/A</v>
      </c>
    </row>
    <row r="8" spans="1:52" x14ac:dyDescent="0.3">
      <c r="A8" s="95" t="e">
        <f>VLOOKUP(B8,Information!$C$8:$F$15,4,FALSE)</f>
        <v>#N/A</v>
      </c>
      <c r="B8" s="52">
        <f>Information!C11</f>
        <v>0</v>
      </c>
      <c r="C8" s="59">
        <f>IF($L$2="Yes",(COUNTIFS('DATA INPUT'!$A$3:$A$3000,"&gt;="&amp;DATE(2017,1,1),'DATA INPUT'!$A$3:$A$3000,"&lt;="&amp;DATE(2017,12,31),'DATA INPUT'!$B$3:$B$3000,$B8)),(COUNTIFS('DATA INPUT'!$A$3:$A$3000,"&gt;="&amp;DATE(2017,1,1),'DATA INPUT'!$A$3:$A$3000,"&lt;="&amp;DATE(2017,12,31),'DATA INPUT'!$B$3:$B$3000,$B8,'DATA INPUT'!$F$3:$F$3000,"&lt;&gt;*Exclude*")))</f>
        <v>0</v>
      </c>
      <c r="D8" s="59">
        <f>IF($L$2="Yes",(COUNTIFS('DATA INPUT'!$A$3:$A$3000,"&gt;="&amp;DATE(2018,1,1),'DATA INPUT'!$A$3:$A$3000,"&lt;="&amp;DATE(2018,12,31),'DATA INPUT'!$B$3:$B$3000,$B8)),(COUNTIFS('DATA INPUT'!$A$3:$A$3000,"&gt;="&amp;DATE(2018,1,1),'DATA INPUT'!$A$3:$A$3000,"&lt;="&amp;DATE(2018,12,31),'DATA INPUT'!$B$3:$B$3000,$B8,'DATA INPUT'!$F$3:$F$3000,"&lt;&gt;*Exclude*")))</f>
        <v>0</v>
      </c>
      <c r="E8" s="59">
        <f>IF($L$2="Yes",(COUNTIFS('DATA INPUT'!$A$3:$A$3000,"&gt;="&amp;DATE(2019,1,1),'DATA INPUT'!$A$3:$A$3000,"&lt;="&amp;DATE(2019,12,31),'DATA INPUT'!$B$3:$B$3000,$B8)),(COUNTIFS('DATA INPUT'!$A$3:$A$3000,"&gt;="&amp;DATE(2019,1,1),'DATA INPUT'!$A$3:$A$3000,"&lt;="&amp;DATE(2019,12,31),'DATA INPUT'!$B$3:$B$3000,$B8,'DATA INPUT'!$F$3:$F$3000,"&lt;&gt;*Exclude*")))</f>
        <v>0</v>
      </c>
      <c r="F8" s="59">
        <f>IF($L$2="Yes",(COUNTIFS('DATA INPUT'!$A$3:$A$3000,"&gt;="&amp;DATE(2020,1,1),'DATA INPUT'!$A$3:$A$3000,"&lt;="&amp;DATE(2020,12,31),'DATA INPUT'!$B$3:$B$3000,$B8)),(COUNTIFS('DATA INPUT'!$A$3:$A$3000,"&gt;="&amp;DATE(2020,1,1),'DATA INPUT'!$A$3:$A$3000,"&lt;="&amp;DATE(2020,12,31),'DATA INPUT'!$B$3:$B$3000,$B8,'DATA INPUT'!$F$3:$F$3000,"&lt;&gt;*Exclude*")))</f>
        <v>0</v>
      </c>
      <c r="G8" s="59">
        <f>IF($L$2="Yes",(COUNTIFS('DATA INPUT'!$A$3:$A$3000,"&gt;="&amp;DATE(2021,1,1),'DATA INPUT'!$A$3:$A$3000,"&lt;="&amp;DATE(2021,12,31),'DATA INPUT'!$B$3:$B$3000,$B8)),(COUNTIFS('DATA INPUT'!$A$3:$A$3000,"&gt;="&amp;DATE(2021,1,1),'DATA INPUT'!$A$3:$A$3000,"&lt;="&amp;DATE(2021,12,31),'DATA INPUT'!$B$3:$B$3000,$B8,'DATA INPUT'!$F$3:$F$3000,"&lt;&gt;*Exclude*")))</f>
        <v>0</v>
      </c>
      <c r="H8" s="59">
        <f>IF($L$2="Yes",(COUNTIFS('DATA INPUT'!$A$3:$A$3000,"&gt;="&amp;DATE(2022,1,1),'DATA INPUT'!$A$3:$A$3000,"&lt;="&amp;DATE(2022,12,31),'DATA INPUT'!$B$3:$B$3000,$B8)),(COUNTIFS('DATA INPUT'!$A$3:$A$3000,"&gt;="&amp;DATE(2022,1,1),'DATA INPUT'!$A$3:$A$3000,"&lt;="&amp;DATE(2022,12,31),'DATA INPUT'!$B$3:$B$3000,$B8,'DATA INPUT'!$F$3:$F$3000,"&lt;&gt;*Exclude*")))</f>
        <v>0</v>
      </c>
      <c r="I8" s="59">
        <f>IF($L$2="Yes",(COUNTIFS('DATA INPUT'!$A$3:$A$3000,"&gt;="&amp;DATE(2023,1,1),'DATA INPUT'!$A$3:$A$3000,"&lt;="&amp;DATE(2023,12,31),'DATA INPUT'!$B$3:$B$3000,$B8)),(COUNTIFS('DATA INPUT'!$A$3:$A$3000,"&gt;="&amp;DATE(2023,1,1),'DATA INPUT'!$A$3:$A$3000,"&lt;="&amp;DATE(2023,12,31),'DATA INPUT'!$B$3:$B$3000,$B8,'DATA INPUT'!$F$3:$F$3000,"&lt;&gt;*Exclude*")))</f>
        <v>0</v>
      </c>
      <c r="J8" s="59">
        <f>IF($L$2="Yes",(COUNTIFS('DATA INPUT'!$A$3:$A$3000,"&gt;="&amp;DATE(2024,1,1),'DATA INPUT'!$A$3:$A$3000,"&lt;="&amp;DATE(2024,12,31),'DATA INPUT'!$B$3:$B$3000,$B8)),(COUNTIFS('DATA INPUT'!$A$3:$A$3000,"&gt;="&amp;DATE(2024,1,1),'DATA INPUT'!$A$3:$A$3000,"&lt;="&amp;DATE(2024,12,31),'DATA INPUT'!$B$3:$B$3000,$B8,'DATA INPUT'!$F$3:$F$3000,"&lt;&gt;*Exclude*")))</f>
        <v>0</v>
      </c>
      <c r="K8" s="59">
        <f>IF($L$2="Yes",(COUNTIFS('DATA INPUT'!$A$3:$A$3000,"&gt;="&amp;DATE(2025,1,1),'DATA INPUT'!$A$3:$A$3000,"&lt;="&amp;DATE(2025,12,31),'DATA INPUT'!$B$3:$B$3000,$B8)),(COUNTIFS('DATA INPUT'!$A$3:$A$3000,"&gt;="&amp;DATE(2025,1,1),'DATA INPUT'!$A$3:$A$3000,"&lt;="&amp;DATE(2025,12,31),'DATA INPUT'!$B$3:$B$3000,$B8,'DATA INPUT'!$F$3:$F$3000,"&lt;&gt;*Exclude*")))</f>
        <v>0</v>
      </c>
      <c r="L8" s="48">
        <f t="shared" si="3"/>
        <v>0</v>
      </c>
      <c r="M8" s="49" t="str">
        <f t="shared" si="4"/>
        <v/>
      </c>
      <c r="N8" s="110"/>
      <c r="P8" s="223"/>
      <c r="Q8" s="223"/>
      <c r="R8" s="223"/>
      <c r="S8" s="182"/>
      <c r="T8" s="182"/>
      <c r="U8" s="182"/>
      <c r="V8" s="182"/>
      <c r="W8" s="182"/>
      <c r="X8" s="182"/>
      <c r="Y8" s="149"/>
      <c r="Z8" s="149" t="s">
        <v>17</v>
      </c>
      <c r="AA8" s="136" t="e">
        <f>IF($L$2="Yes",IF(SUMIFS('DATA INPUT'!$E$3:$E$3000,'DATA INPUT'!$B$3:$B$3000,'Report Tables'!AA$1,'DATA INPUT'!$A$3:$A$3000,"&gt;="&amp;DATE(2017,6,1),'DATA INPUT'!$A$3:$A$3000,"&lt;"&amp;DATE(2017,6,31))=0,#N/A,(SUMIFS('DATA INPUT'!$E$3:$E$3000,'DATA INPUT'!$B$3:$B$3000,'Report Tables'!AA$1,'DATA INPUT'!$A$3:$A$3000,"&gt;="&amp;DATE(2017,6,1),'DATA INPUT'!$A$3:$A$3000,"&lt;"&amp;DATE(2017,6,31)))),IF(SUMIFS('DATA INPUT'!$E$3:$E$3000,'DATA INPUT'!$B$3:$B$3000,'Report Tables'!AA$1,'DATA INPUT'!$A$3:$A$3000,"&gt;="&amp;DATE(2017,6,1),'DATA INPUT'!$A$3:$A$3000,"&lt;"&amp;DATE(2017,6,31),'DATA INPUT'!$F$3:$F$3000,"&lt;&gt;*Exclude*")=0,#N/A,(SUMIFS('DATA INPUT'!$E$3:$E$3000,'DATA INPUT'!$B$3:$B$3000,'Report Tables'!AA$1,'DATA INPUT'!$A$3:$A$3000,"&gt;="&amp;DATE(2017,6,1),'DATA INPUT'!$A$3:$A$3000,"&lt;"&amp;DATE(2017,6,31),'DATA INPUT'!$F$3:$F$3000,"&lt;&gt;*Exclude*"))))</f>
        <v>#N/A</v>
      </c>
      <c r="AB8" s="136" t="e">
        <f>IF($L$2="Yes",IF(SUMIFS('DATA INPUT'!$E$3:$E$3000,'DATA INPUT'!$B$3:$B$3000,'Report Tables'!AB$1,'DATA INPUT'!$A$3:$A$3000,"&gt;="&amp;DATE(2017,6,1),'DATA INPUT'!$A$3:$A$3000,"&lt;"&amp;DATE(2017,6,31))=0,#N/A,(SUMIFS('DATA INPUT'!$E$3:$E$3000,'DATA INPUT'!$B$3:$B$3000,'Report Tables'!AB$1,'DATA INPUT'!$A$3:$A$3000,"&gt;="&amp;DATE(2017,6,1),'DATA INPUT'!$A$3:$A$3000,"&lt;"&amp;DATE(2017,6,31)))),IF(SUMIFS('DATA INPUT'!$E$3:$E$3000,'DATA INPUT'!$B$3:$B$3000,'Report Tables'!AB$1,'DATA INPUT'!$A$3:$A$3000,"&gt;="&amp;DATE(2017,6,1),'DATA INPUT'!$A$3:$A$3000,"&lt;"&amp;DATE(2017,6,31),'DATA INPUT'!$F$3:$F$3000,"&lt;&gt;*Exclude*")=0,#N/A,(SUMIFS('DATA INPUT'!$E$3:$E$3000,'DATA INPUT'!$B$3:$B$3000,'Report Tables'!AB$1,'DATA INPUT'!$A$3:$A$3000,"&gt;="&amp;DATE(2017,6,1),'DATA INPUT'!$A$3:$A$3000,"&lt;"&amp;DATE(2017,6,31),'DATA INPUT'!$F$3:$F$3000,"&lt;&gt;*Exclude*"))))</f>
        <v>#N/A</v>
      </c>
      <c r="AC8" s="136" t="e">
        <f>IF($L$2="Yes",IF(SUMIFS('DATA INPUT'!$E$3:$E$3000,'DATA INPUT'!$B$3:$B$3000,'Report Tables'!AC$1,'DATA INPUT'!$A$3:$A$3000,"&gt;="&amp;DATE(2017,6,1),'DATA INPUT'!$A$3:$A$3000,"&lt;"&amp;DATE(2017,6,31))=0,#N/A,(SUMIFS('DATA INPUT'!$E$3:$E$3000,'DATA INPUT'!$B$3:$B$3000,'Report Tables'!AC$1,'DATA INPUT'!$A$3:$A$3000,"&gt;="&amp;DATE(2017,6,1),'DATA INPUT'!$A$3:$A$3000,"&lt;"&amp;DATE(2017,6,31)))),IF(SUMIFS('DATA INPUT'!$E$3:$E$3000,'DATA INPUT'!$B$3:$B$3000,'Report Tables'!AC$1,'DATA INPUT'!$A$3:$A$3000,"&gt;="&amp;DATE(2017,6,1),'DATA INPUT'!$A$3:$A$3000,"&lt;"&amp;DATE(2017,6,31),'DATA INPUT'!$F$3:$F$3000,"&lt;&gt;*Exclude*")=0,#N/A,(SUMIFS('DATA INPUT'!$E$3:$E$3000,'DATA INPUT'!$B$3:$B$3000,'Report Tables'!AC$1,'DATA INPUT'!$A$3:$A$3000,"&gt;="&amp;DATE(2017,6,1),'DATA INPUT'!$A$3:$A$3000,"&lt;"&amp;DATE(2017,6,31),'DATA INPUT'!$F$3:$F$3000,"&lt;&gt;*Exclude*"))))</f>
        <v>#N/A</v>
      </c>
      <c r="AD8" s="136" t="e">
        <f>IF($L$2="Yes",IF(SUMIFS('DATA INPUT'!$E$3:$E$3000,'DATA INPUT'!$B$3:$B$3000,'Report Tables'!AD$1,'DATA INPUT'!$A$3:$A$3000,"&gt;="&amp;DATE(2017,6,1),'DATA INPUT'!$A$3:$A$3000,"&lt;"&amp;DATE(2017,6,31))=0,#N/A,(SUMIFS('DATA INPUT'!$E$3:$E$3000,'DATA INPUT'!$B$3:$B$3000,'Report Tables'!AD$1,'DATA INPUT'!$A$3:$A$3000,"&gt;="&amp;DATE(2017,6,1),'DATA INPUT'!$A$3:$A$3000,"&lt;"&amp;DATE(2017,6,31)))),IF(SUMIFS('DATA INPUT'!$E$3:$E$3000,'DATA INPUT'!$B$3:$B$3000,'Report Tables'!AD$1,'DATA INPUT'!$A$3:$A$3000,"&gt;="&amp;DATE(2017,6,1),'DATA INPUT'!$A$3:$A$3000,"&lt;"&amp;DATE(2017,6,31),'DATA INPUT'!$F$3:$F$3000,"&lt;&gt;*Exclude*")=0,#N/A,(SUMIFS('DATA INPUT'!$E$3:$E$3000,'DATA INPUT'!$B$3:$B$3000,'Report Tables'!AD$1,'DATA INPUT'!$A$3:$A$3000,"&gt;="&amp;DATE(2017,6,1),'DATA INPUT'!$A$3:$A$3000,"&lt;"&amp;DATE(2017,6,31),'DATA INPUT'!$F$3:$F$3000,"&lt;&gt;*Exclude*"))))</f>
        <v>#N/A</v>
      </c>
      <c r="AE8" s="136" t="e">
        <f>IF($L$2="Yes",IF(SUMIFS('DATA INPUT'!$E$3:$E$3000,'DATA INPUT'!$B$3:$B$3000,'Report Tables'!AE$1,'DATA INPUT'!$A$3:$A$3000,"&gt;="&amp;DATE(2017,6,1),'DATA INPUT'!$A$3:$A$3000,"&lt;"&amp;DATE(2017,6,31))=0,#N/A,(SUMIFS('DATA INPUT'!$E$3:$E$3000,'DATA INPUT'!$B$3:$B$3000,'Report Tables'!AE$1,'DATA INPUT'!$A$3:$A$3000,"&gt;="&amp;DATE(2017,6,1),'DATA INPUT'!$A$3:$A$3000,"&lt;"&amp;DATE(2017,6,31)))),IF(SUMIFS('DATA INPUT'!$E$3:$E$3000,'DATA INPUT'!$B$3:$B$3000,'Report Tables'!AE$1,'DATA INPUT'!$A$3:$A$3000,"&gt;="&amp;DATE(2017,6,1),'DATA INPUT'!$A$3:$A$3000,"&lt;"&amp;DATE(2017,6,31),'DATA INPUT'!$F$3:$F$3000,"&lt;&gt;*Exclude*")=0,#N/A,(SUMIFS('DATA INPUT'!$E$3:$E$3000,'DATA INPUT'!$B$3:$B$3000,'Report Tables'!AE$1,'DATA INPUT'!$A$3:$A$3000,"&gt;="&amp;DATE(2017,6,1),'DATA INPUT'!$A$3:$A$3000,"&lt;"&amp;DATE(2017,6,31),'DATA INPUT'!$F$3:$F$3000,"&lt;&gt;*Exclude*"))))</f>
        <v>#N/A</v>
      </c>
      <c r="AF8" s="136" t="e">
        <f>IF($L$2="Yes",IF(SUMIFS('DATA INPUT'!$E$3:$E$3000,'DATA INPUT'!$B$3:$B$3000,'Report Tables'!AF$1,'DATA INPUT'!$A$3:$A$3000,"&gt;="&amp;DATE(2017,6,1),'DATA INPUT'!$A$3:$A$3000,"&lt;"&amp;DATE(2017,6,31))=0,#N/A,(SUMIFS('DATA INPUT'!$E$3:$E$3000,'DATA INPUT'!$B$3:$B$3000,'Report Tables'!AF$1,'DATA INPUT'!$A$3:$A$3000,"&gt;="&amp;DATE(2017,6,1),'DATA INPUT'!$A$3:$A$3000,"&lt;"&amp;DATE(2017,6,31)))),IF(SUMIFS('DATA INPUT'!$E$3:$E$3000,'DATA INPUT'!$B$3:$B$3000,'Report Tables'!AF$1,'DATA INPUT'!$A$3:$A$3000,"&gt;="&amp;DATE(2017,6,1),'DATA INPUT'!$A$3:$A$3000,"&lt;"&amp;DATE(2017,6,31),'DATA INPUT'!$F$3:$F$3000,"&lt;&gt;*Exclude*")=0,#N/A,(SUMIFS('DATA INPUT'!$E$3:$E$3000,'DATA INPUT'!$B$3:$B$3000,'Report Tables'!AF$1,'DATA INPUT'!$A$3:$A$3000,"&gt;="&amp;DATE(2017,6,1),'DATA INPUT'!$A$3:$A$3000,"&lt;"&amp;DATE(2017,6,31),'DATA INPUT'!$F$3:$F$3000,"&lt;&gt;*Exclude*"))))</f>
        <v>#N/A</v>
      </c>
      <c r="AG8" s="136" t="e">
        <f>IF($L$2="Yes",IF(SUMIFS('DATA INPUT'!$E$3:$E$3000,'DATA INPUT'!$B$3:$B$3000,'Report Tables'!AG$1,'DATA INPUT'!$A$3:$A$3000,"&gt;="&amp;DATE(2017,6,1),'DATA INPUT'!$A$3:$A$3000,"&lt;"&amp;DATE(2017,6,31))=0,#N/A,(SUMIFS('DATA INPUT'!$E$3:$E$3000,'DATA INPUT'!$B$3:$B$3000,'Report Tables'!AG$1,'DATA INPUT'!$A$3:$A$3000,"&gt;="&amp;DATE(2017,6,1),'DATA INPUT'!$A$3:$A$3000,"&lt;"&amp;DATE(2017,6,31)))),IF(SUMIFS('DATA INPUT'!$E$3:$E$3000,'DATA INPUT'!$B$3:$B$3000,'Report Tables'!AG$1,'DATA INPUT'!$A$3:$A$3000,"&gt;="&amp;DATE(2017,6,1),'DATA INPUT'!$A$3:$A$3000,"&lt;"&amp;DATE(2017,6,31),'DATA INPUT'!$F$3:$F$3000,"&lt;&gt;*Exclude*")=0,#N/A,(SUMIFS('DATA INPUT'!$E$3:$E$3000,'DATA INPUT'!$B$3:$B$3000,'Report Tables'!AG$1,'DATA INPUT'!$A$3:$A$3000,"&gt;="&amp;DATE(2017,6,1),'DATA INPUT'!$A$3:$A$3000,"&lt;"&amp;DATE(2017,6,31),'DATA INPUT'!$F$3:$F$3000,"&lt;&gt;*Exclude*"))))</f>
        <v>#N/A</v>
      </c>
      <c r="AH8" s="136" t="e">
        <f>IF($L$2="Yes",IF(SUMIFS('DATA INPUT'!$E$3:$E$3000,'DATA INPUT'!$B$3:$B$3000,'Report Tables'!AH$1,'DATA INPUT'!$A$3:$A$3000,"&gt;="&amp;DATE(2017,6,1),'DATA INPUT'!$A$3:$A$3000,"&lt;"&amp;DATE(2017,6,31))=0,#N/A,(SUMIFS('DATA INPUT'!$E$3:$E$3000,'DATA INPUT'!$B$3:$B$3000,'Report Tables'!AH$1,'DATA INPUT'!$A$3:$A$3000,"&gt;="&amp;DATE(2017,6,1),'DATA INPUT'!$A$3:$A$3000,"&lt;"&amp;DATE(2017,6,31)))),IF(SUMIFS('DATA INPUT'!$E$3:$E$3000,'DATA INPUT'!$B$3:$B$3000,'Report Tables'!AH$1,'DATA INPUT'!$A$3:$A$3000,"&gt;="&amp;DATE(2017,6,1),'DATA INPUT'!$A$3:$A$3000,"&lt;"&amp;DATE(2017,6,31),'DATA INPUT'!$F$3:$F$3000,"&lt;&gt;*Exclude*")=0,#N/A,(SUMIFS('DATA INPUT'!$E$3:$E$3000,'DATA INPUT'!$B$3:$B$3000,'Report Tables'!AH$1,'DATA INPUT'!$A$3:$A$3000,"&gt;="&amp;DATE(2017,6,1),'DATA INPUT'!$A$3:$A$3000,"&lt;"&amp;DATE(2017,6,31),'DATA INPUT'!$F$3:$F$3000,"&lt;&gt;*Exclude*"))))</f>
        <v>#N/A</v>
      </c>
      <c r="AI8" s="136" t="e">
        <f t="shared" si="0"/>
        <v>#N/A</v>
      </c>
      <c r="AJ8" s="136" t="e">
        <f>IF($L$2="Yes",IF(SUMIFS('DATA INPUT'!$D$3:$D$3000,'DATA INPUT'!$A$3:$A$3000,"&gt;="&amp;DATE(2017,6,1),'DATA INPUT'!$A$3:$A$3000,"&lt;"&amp;DATE(2017,6,31),'DATA INPUT'!$G$3:$G$3000,"&lt;&gt;*School service*")=0,#N/A,(SUMIFS('DATA INPUT'!$D$3:$D$3000,'DATA INPUT'!$A$3:$A$3000,"&gt;="&amp;DATE(2017,6,1),'DATA INPUT'!$A$3:$A$3000,"&lt;"&amp;DATE(2017,6,31),'DATA INPUT'!$G$3:$G$3000,"&lt;&gt;*School service*"))),IF(SUMIFS('DATA INPUT'!$D$3:$D$3000,'DATA INPUT'!$A$3:$A$3000,"&gt;="&amp;DATE(2017,6,1),'DATA INPUT'!$A$3:$A$3000,"&lt;"&amp;DATE(2017,6,31),'DATA INPUT'!$F$3:$F$3000,"&lt;&gt;*Exclude*",'DATA INPUT'!$G$3:$G$3000,"&lt;&gt;*School service*")=0,#N/A,(SUMIFS('DATA INPUT'!$D$3:$D$3000,'DATA INPUT'!$A$3:$A$3000,"&gt;="&amp;DATE(2017,6,1),'DATA INPUT'!$A$3:$A$3000,"&lt;"&amp;DATE(2017,6,31),'DATA INPUT'!$F$3:$F$3000,"&lt;&gt;*Exclude*",'DATA INPUT'!$G$3:$G$3000,"&lt;&gt;*School service*"))))</f>
        <v>#N/A</v>
      </c>
      <c r="AK8" s="136" t="e">
        <f>AI8-AJ8</f>
        <v>#N/A</v>
      </c>
      <c r="AM8" s="117" t="e">
        <f>IF($L$2="Yes",IFERROR((SUMIFS('DATA INPUT'!$E$3:$E$3000,'DATA INPUT'!$B$3:$B$3000,'Report Tables'!AM$1,'DATA INPUT'!$A$3:$A$3000,"&gt;="&amp;DATE(2017,6,1),'DATA INPUT'!$A$3:$A$3000,"&lt;"&amp;DATE(2017,6,31)))/COUNTIFS('DATA INPUT'!$B$3:$B$3000,'Report Tables'!AM$1,'DATA INPUT'!$A$3:$A$3000,"&gt;="&amp;DATE(2017,6,1),'DATA INPUT'!$A$3:$A$3000,"&lt;"&amp;DATE(2017,6,31)),#N/A),IFERROR((SUMIFS('DATA INPUT'!$E$3:$E$3000,'DATA INPUT'!$B$3:$B$3000,'Report Tables'!AM$1,'DATA INPUT'!$A$3:$A$3000,"&gt;="&amp;DATE(2017,6,1),'DATA INPUT'!$A$3:$A$3000,"&lt;"&amp;DATE(2017,6,31),'DATA INPUT'!$F$3:$F$3000,"&lt;&gt;*Exclude*"))/(COUNTIFS('DATA INPUT'!$B$3:$B$3000,'Report Tables'!AM$1,'DATA INPUT'!$A$3:$A$3000,"&gt;="&amp;DATE(2017,6,1),'DATA INPUT'!$A$3:$A$3000,"&lt;"&amp;DATE(2017,6,31),'DATA INPUT'!$F$3:$F$3000,"&lt;&gt;*Exclude*")),#N/A))</f>
        <v>#N/A</v>
      </c>
      <c r="AN8" s="117" t="e">
        <f>IF($L$2="Yes",IFERROR((SUMIFS('DATA INPUT'!$E$3:$E$3000,'DATA INPUT'!$B$3:$B$3000,'Report Tables'!AN$1,'DATA INPUT'!$A$3:$A$3000,"&gt;="&amp;DATE(2017,6,1),'DATA INPUT'!$A$3:$A$3000,"&lt;"&amp;DATE(2017,6,31)))/COUNTIFS('DATA INPUT'!$B$3:$B$3000,'Report Tables'!AN$1,'DATA INPUT'!$A$3:$A$3000,"&gt;="&amp;DATE(2017,6,1),'DATA INPUT'!$A$3:$A$3000,"&lt;"&amp;DATE(2017,6,31)),#N/A),IFERROR((SUMIFS('DATA INPUT'!$E$3:$E$3000,'DATA INPUT'!$B$3:$B$3000,'Report Tables'!AN$1,'DATA INPUT'!$A$3:$A$3000,"&gt;="&amp;DATE(2017,6,1),'DATA INPUT'!$A$3:$A$3000,"&lt;"&amp;DATE(2017,6,31),'DATA INPUT'!$F$3:$F$3000,"&lt;&gt;*Exclude*"))/(COUNTIFS('DATA INPUT'!$B$3:$B$3000,'Report Tables'!AN$1,'DATA INPUT'!$A$3:$A$3000,"&gt;="&amp;DATE(2017,6,1),'DATA INPUT'!$A$3:$A$3000,"&lt;"&amp;DATE(2017,6,31),'DATA INPUT'!$F$3:$F$3000,"&lt;&gt;*Exclude*")),#N/A))</f>
        <v>#N/A</v>
      </c>
      <c r="AO8" s="117" t="e">
        <f>IF($L$2="Yes",IFERROR((SUMIFS('DATA INPUT'!$E$3:$E$3000,'DATA INPUT'!$B$3:$B$3000,'Report Tables'!AO$1,'DATA INPUT'!$A$3:$A$3000,"&gt;="&amp;DATE(2017,6,1),'DATA INPUT'!$A$3:$A$3000,"&lt;"&amp;DATE(2017,6,31)))/COUNTIFS('DATA INPUT'!$B$3:$B$3000,'Report Tables'!AO$1,'DATA INPUT'!$A$3:$A$3000,"&gt;="&amp;DATE(2017,6,1),'DATA INPUT'!$A$3:$A$3000,"&lt;"&amp;DATE(2017,6,31)),#N/A),IFERROR((SUMIFS('DATA INPUT'!$E$3:$E$3000,'DATA INPUT'!$B$3:$B$3000,'Report Tables'!AO$1,'DATA INPUT'!$A$3:$A$3000,"&gt;="&amp;DATE(2017,6,1),'DATA INPUT'!$A$3:$A$3000,"&lt;"&amp;DATE(2017,6,31),'DATA INPUT'!$F$3:$F$3000,"&lt;&gt;*Exclude*"))/(COUNTIFS('DATA INPUT'!$B$3:$B$3000,'Report Tables'!AO$1,'DATA INPUT'!$A$3:$A$3000,"&gt;="&amp;DATE(2017,6,1),'DATA INPUT'!$A$3:$A$3000,"&lt;"&amp;DATE(2017,6,31),'DATA INPUT'!$F$3:$F$3000,"&lt;&gt;*Exclude*")),#N/A))</f>
        <v>#N/A</v>
      </c>
      <c r="AP8" s="117" t="e">
        <f>IF($L$2="Yes",IFERROR((SUMIFS('DATA INPUT'!$E$3:$E$3000,'DATA INPUT'!$B$3:$B$3000,'Report Tables'!AP$1,'DATA INPUT'!$A$3:$A$3000,"&gt;="&amp;DATE(2017,6,1),'DATA INPUT'!$A$3:$A$3000,"&lt;"&amp;DATE(2017,6,31)))/COUNTIFS('DATA INPUT'!$B$3:$B$3000,'Report Tables'!AP$1,'DATA INPUT'!$A$3:$A$3000,"&gt;="&amp;DATE(2017,6,1),'DATA INPUT'!$A$3:$A$3000,"&lt;"&amp;DATE(2017,6,31)),#N/A),IFERROR((SUMIFS('DATA INPUT'!$E$3:$E$3000,'DATA INPUT'!$B$3:$B$3000,'Report Tables'!AP$1,'DATA INPUT'!$A$3:$A$3000,"&gt;="&amp;DATE(2017,6,1),'DATA INPUT'!$A$3:$A$3000,"&lt;"&amp;DATE(2017,6,31),'DATA INPUT'!$F$3:$F$3000,"&lt;&gt;*Exclude*"))/(COUNTIFS('DATA INPUT'!$B$3:$B$3000,'Report Tables'!AP$1,'DATA INPUT'!$A$3:$A$3000,"&gt;="&amp;DATE(2017,6,1),'DATA INPUT'!$A$3:$A$3000,"&lt;"&amp;DATE(2017,6,31),'DATA INPUT'!$F$3:$F$3000,"&lt;&gt;*Exclude*")),#N/A))</f>
        <v>#N/A</v>
      </c>
      <c r="AQ8" s="117" t="e">
        <f>IF($L$2="Yes",IFERROR((SUMIFS('DATA INPUT'!$E$3:$E$3000,'DATA INPUT'!$B$3:$B$3000,'Report Tables'!AQ$1,'DATA INPUT'!$A$3:$A$3000,"&gt;="&amp;DATE(2017,6,1),'DATA INPUT'!$A$3:$A$3000,"&lt;"&amp;DATE(2017,6,31)))/COUNTIFS('DATA INPUT'!$B$3:$B$3000,'Report Tables'!AQ$1,'DATA INPUT'!$A$3:$A$3000,"&gt;="&amp;DATE(2017,6,1),'DATA INPUT'!$A$3:$A$3000,"&lt;"&amp;DATE(2017,6,31)),#N/A),IFERROR((SUMIFS('DATA INPUT'!$E$3:$E$3000,'DATA INPUT'!$B$3:$B$3000,'Report Tables'!AQ$1,'DATA INPUT'!$A$3:$A$3000,"&gt;="&amp;DATE(2017,6,1),'DATA INPUT'!$A$3:$A$3000,"&lt;"&amp;DATE(2017,6,31),'DATA INPUT'!$F$3:$F$3000,"&lt;&gt;*Exclude*"))/(COUNTIFS('DATA INPUT'!$B$3:$B$3000,'Report Tables'!AQ$1,'DATA INPUT'!$A$3:$A$3000,"&gt;="&amp;DATE(2017,6,1),'DATA INPUT'!$A$3:$A$3000,"&lt;"&amp;DATE(2017,6,31),'DATA INPUT'!$F$3:$F$3000,"&lt;&gt;*Exclude*")),#N/A))</f>
        <v>#N/A</v>
      </c>
      <c r="AR8" s="117" t="e">
        <f>IF($L$2="Yes",IFERROR((SUMIFS('DATA INPUT'!$E$3:$E$3000,'DATA INPUT'!$B$3:$B$3000,'Report Tables'!AR$1,'DATA INPUT'!$A$3:$A$3000,"&gt;="&amp;DATE(2017,6,1),'DATA INPUT'!$A$3:$A$3000,"&lt;"&amp;DATE(2017,6,31)))/COUNTIFS('DATA INPUT'!$B$3:$B$3000,'Report Tables'!AR$1,'DATA INPUT'!$A$3:$A$3000,"&gt;="&amp;DATE(2017,6,1),'DATA INPUT'!$A$3:$A$3000,"&lt;"&amp;DATE(2017,6,31)),#N/A),IFERROR((SUMIFS('DATA INPUT'!$E$3:$E$3000,'DATA INPUT'!$B$3:$B$3000,'Report Tables'!AR$1,'DATA INPUT'!$A$3:$A$3000,"&gt;="&amp;DATE(2017,6,1),'DATA INPUT'!$A$3:$A$3000,"&lt;"&amp;DATE(2017,6,31),'DATA INPUT'!$F$3:$F$3000,"&lt;&gt;*Exclude*"))/(COUNTIFS('DATA INPUT'!$B$3:$B$3000,'Report Tables'!AR$1,'DATA INPUT'!$A$3:$A$3000,"&gt;="&amp;DATE(2017,6,1),'DATA INPUT'!$A$3:$A$3000,"&lt;"&amp;DATE(2017,6,31),'DATA INPUT'!$F$3:$F$3000,"&lt;&gt;*Exclude*")),#N/A))</f>
        <v>#N/A</v>
      </c>
      <c r="AS8" s="117" t="e">
        <f>IF($L$2="Yes",IFERROR((SUMIFS('DATA INPUT'!$E$3:$E$3000,'DATA INPUT'!$B$3:$B$3000,'Report Tables'!AS$1,'DATA INPUT'!$A$3:$A$3000,"&gt;="&amp;DATE(2017,6,1),'DATA INPUT'!$A$3:$A$3000,"&lt;"&amp;DATE(2017,6,31)))/COUNTIFS('DATA INPUT'!$B$3:$B$3000,'Report Tables'!AS$1,'DATA INPUT'!$A$3:$A$3000,"&gt;="&amp;DATE(2017,6,1),'DATA INPUT'!$A$3:$A$3000,"&lt;"&amp;DATE(2017,6,31)),#N/A),IFERROR((SUMIFS('DATA INPUT'!$E$3:$E$3000,'DATA INPUT'!$B$3:$B$3000,'Report Tables'!AS$1,'DATA INPUT'!$A$3:$A$3000,"&gt;="&amp;DATE(2017,6,1),'DATA INPUT'!$A$3:$A$3000,"&lt;"&amp;DATE(2017,6,31),'DATA INPUT'!$F$3:$F$3000,"&lt;&gt;*Exclude*"))/(COUNTIFS('DATA INPUT'!$B$3:$B$3000,'Report Tables'!AS$1,'DATA INPUT'!$A$3:$A$3000,"&gt;="&amp;DATE(2017,6,1),'DATA INPUT'!$A$3:$A$3000,"&lt;"&amp;DATE(2017,6,31),'DATA INPUT'!$F$3:$F$3000,"&lt;&gt;*Exclude*")),#N/A))</f>
        <v>#N/A</v>
      </c>
      <c r="AT8" s="117" t="e">
        <f>IF($L$2="Yes",IFERROR((SUMIFS('DATA INPUT'!$E$3:$E$3000,'DATA INPUT'!$B$3:$B$3000,'Report Tables'!AT$1,'DATA INPUT'!$A$3:$A$3000,"&gt;="&amp;DATE(2017,6,1),'DATA INPUT'!$A$3:$A$3000,"&lt;"&amp;DATE(2017,6,31)))/COUNTIFS('DATA INPUT'!$B$3:$B$3000,'Report Tables'!AT$1,'DATA INPUT'!$A$3:$A$3000,"&gt;="&amp;DATE(2017,6,1),'DATA INPUT'!$A$3:$A$3000,"&lt;"&amp;DATE(2017,6,31)),#N/A),IFERROR((SUMIFS('DATA INPUT'!$E$3:$E$3000,'DATA INPUT'!$B$3:$B$3000,'Report Tables'!AT$1,'DATA INPUT'!$A$3:$A$3000,"&gt;="&amp;DATE(2017,6,1),'DATA INPUT'!$A$3:$A$3000,"&lt;"&amp;DATE(2017,6,31),'DATA INPUT'!$F$3:$F$3000,"&lt;&gt;*Exclude*"))/(COUNTIFS('DATA INPUT'!$B$3:$B$3000,'Report Tables'!AT$1,'DATA INPUT'!$A$3:$A$3000,"&gt;="&amp;DATE(2017,6,1),'DATA INPUT'!$A$3:$A$3000,"&lt;"&amp;DATE(2017,6,31),'DATA INPUT'!$F$3:$F$3000,"&lt;&gt;*Exclude*")),#N/A))</f>
        <v>#N/A</v>
      </c>
      <c r="AU8" s="117" t="e">
        <f t="shared" si="1"/>
        <v>#N/A</v>
      </c>
      <c r="AV8" s="117" t="e">
        <f>IF($L$2="Yes",IFERROR((SUMIFS('DATA INPUT'!$D$3:$D$3000,'DATA INPUT'!$A$3:$A$3000,"&gt;="&amp;DATE(2017,6,1),'DATA INPUT'!$A$3:$A$3000,"&lt;"&amp;DATE(2017,6,31),'DATA INPUT'!$G$3:$G$3000,"&lt;&gt;*School service*"))/COUNTIFS('DATA INPUT'!$A$3:$A$3000,"&gt;="&amp;DATE(2017,6,1),'DATA INPUT'!$A$3:$A$3000,"&lt;"&amp;DATE(2017,6,31),'DATA INPUT'!$G$3:$G$3000,"&lt;&gt;*School service*",'DATA INPUT'!$D$3:$D$3000,"&lt;&gt;"&amp;""),#N/A),IFERROR((SUMIFS('DATA INPUT'!$D$3:$D$3000,'DATA INPUT'!$A$3:$A$3000,"&gt;="&amp;DATE(2017,6,1),'DATA INPUT'!$A$3:$A$3000,"&lt;"&amp;DATE(2017,6,31),'DATA INPUT'!$F$3:$F$3000,"&lt;&gt;*Exclude*",'DATA INPUT'!$G$3:$G$3000,"&lt;&gt;*School service*"))/(COUNTIFS('DATA INPUT'!$A$3:$A$3000,"&gt;="&amp;DATE(2017,6,1),'DATA INPUT'!$A$3:$A$3000,"&lt;"&amp;DATE(2017,6,31),'DATA INPUT'!$F$3:$F$3000,"&lt;&gt;*Exclude*",'DATA INPUT'!$G$3:$G$3000,"&lt;&gt;*School service*",'DATA INPUT'!$D$3:$D$3000,"&lt;&gt;"&amp;"")),#N/A))</f>
        <v>#N/A</v>
      </c>
      <c r="AW8" s="117" t="e">
        <f t="shared" si="2"/>
        <v>#N/A</v>
      </c>
      <c r="AX8" s="117" t="e">
        <f>IF($L$2="Yes",IFERROR((SUMIFS('DATA INPUT'!$E$3:$E$3000,'DATA INPUT'!$B$3:$B$3000,'Report Tables'!AX$1,'DATA INPUT'!$A$3:$A$3000,"&gt;="&amp;DATE(2017,6,1),'DATA INPUT'!$A$3:$A$3000,"&lt;"&amp;DATE(2017,6,31)))/COUNTIFS('DATA INPUT'!$B$3:$B$3000,'Report Tables'!AX$1,'DATA INPUT'!$A$3:$A$3000,"&gt;="&amp;DATE(2017,6,1),'DATA INPUT'!$A$3:$A$3000,"&lt;"&amp;DATE(2017,6,31)),#N/A),IFERROR((SUMIFS('DATA INPUT'!$E$3:$E$3000,'DATA INPUT'!$B$3:$B$3000,'Report Tables'!AX$1,'DATA INPUT'!$A$3:$A$3000,"&gt;="&amp;DATE(2017,6,1),'DATA INPUT'!$A$3:$A$3000,"&lt;"&amp;DATE(2017,6,31),'DATA INPUT'!$F$3:$F$3000,"&lt;&gt;*Exclude*"))/(COUNTIFS('DATA INPUT'!$B$3:$B$3000,'Report Tables'!AX$1,'DATA INPUT'!$A$3:$A$3000,"&gt;="&amp;DATE(2017,6,1),'DATA INPUT'!$A$3:$A$3000,"&lt;"&amp;DATE(2017,6,31),'DATA INPUT'!$F$3:$F$3000,"&lt;&gt;*Exclude*")),#N/A))</f>
        <v>#N/A</v>
      </c>
      <c r="AY8" s="117" t="e">
        <f>IF($L$2="Yes",IFERROR((SUMIFS('DATA INPUT'!$D$3:$D$3000,'DATA INPUT'!$B$3:$B$3000,'Report Tables'!AX$1,'DATA INPUT'!$A$3:$A$3000,"&gt;="&amp;DATE(2017,6,1),'DATA INPUT'!$A$3:$A$3000,"&lt;"&amp;DATE(2017,6,31)))/COUNTIFS('DATA INPUT'!$B$3:$B$3000,'Report Tables'!AX$1,'DATA INPUT'!$A$3:$A$3000,"&gt;="&amp;DATE(2017,6,1),'DATA INPUT'!$A$3:$A$3000,"&lt;"&amp;DATE(2017,6,31)),#N/A),IFERROR((SUMIFS('DATA INPUT'!$D$3:$D$3000,'DATA INPUT'!$B$3:$B$3000,'Report Tables'!AX$1,'DATA INPUT'!$A$3:$A$3000,"&gt;="&amp;DATE(2017,6,1),'DATA INPUT'!$A$3:$A$3000,"&lt;"&amp;DATE(2017,6,31),'DATA INPUT'!$F$3:$F$3000,"&lt;&gt;*Exclude*"))/(COUNTIFS('DATA INPUT'!$B$3:$B$3000,'Report Tables'!AX$1,'DATA INPUT'!$A$3:$A$3000,"&gt;="&amp;DATE(2017,6,1),'DATA INPUT'!$A$3:$A$3000,"&lt;"&amp;DATE(2017,6,31),'DATA INPUT'!$F$3:$F$3000,"&lt;&gt;*Exclude*")),#N/A))</f>
        <v>#N/A</v>
      </c>
      <c r="AZ8" s="117" t="e">
        <f>IF($L$2="Yes",IFERROR((SUMIFS('DATA INPUT'!$C$3:$C$3000,'DATA INPUT'!$B$3:$B$3000,'Report Tables'!AX$1,'DATA INPUT'!$A$3:$A$3000,"&gt;="&amp;DATE(2017,6,1),'DATA INPUT'!$A$3:$A$3000,"&lt;"&amp;DATE(2017,6,31)))/COUNTIFS('DATA INPUT'!$B$3:$B$3000,'Report Tables'!AX$1,'DATA INPUT'!$A$3:$A$3000,"&gt;="&amp;DATE(2017,6,1),'DATA INPUT'!$A$3:$A$3000,"&lt;"&amp;DATE(2017,6,31)),#N/A),IFERROR((SUMIFS('DATA INPUT'!$C$3:$C$3000,'DATA INPUT'!$B$3:$B$3000,'Report Tables'!AX$1,'DATA INPUT'!$A$3:$A$3000,"&gt;="&amp;DATE(2017,6,1),'DATA INPUT'!$A$3:$A$3000,"&lt;"&amp;DATE(2017,6,31),'DATA INPUT'!$F$3:$F$3000,"&lt;&gt;*Exclude*"))/(COUNTIFS('DATA INPUT'!$B$3:$B$3000,'Report Tables'!AX$1,'DATA INPUT'!$A$3:$A$3000,"&gt;="&amp;DATE(2017,6,1),'DATA INPUT'!$A$3:$A$3000,"&lt;"&amp;DATE(2017,6,31),'DATA INPUT'!$F$3:$F$3000,"&lt;&gt;*Exclude*")),#N/A))</f>
        <v>#N/A</v>
      </c>
    </row>
    <row r="9" spans="1:52" ht="15" customHeight="1" x14ac:dyDescent="0.3">
      <c r="A9" s="95" t="e">
        <f>VLOOKUP(B9,Information!$C$8:$F$15,4,FALSE)</f>
        <v>#N/A</v>
      </c>
      <c r="B9" s="52">
        <f>Information!C12</f>
        <v>0</v>
      </c>
      <c r="C9" s="59">
        <f>IF($L$2="Yes",(COUNTIFS('DATA INPUT'!$A$3:$A$3000,"&gt;="&amp;DATE(2017,1,1),'DATA INPUT'!$A$3:$A$3000,"&lt;="&amp;DATE(2017,12,31),'DATA INPUT'!$B$3:$B$3000,$B9)),(COUNTIFS('DATA INPUT'!$A$3:$A$3000,"&gt;="&amp;DATE(2017,1,1),'DATA INPUT'!$A$3:$A$3000,"&lt;="&amp;DATE(2017,12,31),'DATA INPUT'!$B$3:$B$3000,$B9,'DATA INPUT'!$F$3:$F$3000,"&lt;&gt;*Exclude*")))</f>
        <v>0</v>
      </c>
      <c r="D9" s="59">
        <f>IF($L$2="Yes",(COUNTIFS('DATA INPUT'!$A$3:$A$3000,"&gt;="&amp;DATE(2018,1,1),'DATA INPUT'!$A$3:$A$3000,"&lt;="&amp;DATE(2018,12,31),'DATA INPUT'!$B$3:$B$3000,$B9)),(COUNTIFS('DATA INPUT'!$A$3:$A$3000,"&gt;="&amp;DATE(2018,1,1),'DATA INPUT'!$A$3:$A$3000,"&lt;="&amp;DATE(2018,12,31),'DATA INPUT'!$B$3:$B$3000,$B9,'DATA INPUT'!$F$3:$F$3000,"&lt;&gt;*Exclude*")))</f>
        <v>0</v>
      </c>
      <c r="E9" s="59">
        <f>IF($L$2="Yes",(COUNTIFS('DATA INPUT'!$A$3:$A$3000,"&gt;="&amp;DATE(2019,1,1),'DATA INPUT'!$A$3:$A$3000,"&lt;="&amp;DATE(2019,12,31),'DATA INPUT'!$B$3:$B$3000,$B9)),(COUNTIFS('DATA INPUT'!$A$3:$A$3000,"&gt;="&amp;DATE(2019,1,1),'DATA INPUT'!$A$3:$A$3000,"&lt;="&amp;DATE(2019,12,31),'DATA INPUT'!$B$3:$B$3000,$B9,'DATA INPUT'!$F$3:$F$3000,"&lt;&gt;*Exclude*")))</f>
        <v>0</v>
      </c>
      <c r="F9" s="59">
        <f>IF($L$2="Yes",(COUNTIFS('DATA INPUT'!$A$3:$A$3000,"&gt;="&amp;DATE(2020,1,1),'DATA INPUT'!$A$3:$A$3000,"&lt;="&amp;DATE(2020,12,31),'DATA INPUT'!$B$3:$B$3000,$B9)),(COUNTIFS('DATA INPUT'!$A$3:$A$3000,"&gt;="&amp;DATE(2020,1,1),'DATA INPUT'!$A$3:$A$3000,"&lt;="&amp;DATE(2020,12,31),'DATA INPUT'!$B$3:$B$3000,$B9,'DATA INPUT'!$F$3:$F$3000,"&lt;&gt;*Exclude*")))</f>
        <v>0</v>
      </c>
      <c r="G9" s="59">
        <f>IF($L$2="Yes",(COUNTIFS('DATA INPUT'!$A$3:$A$3000,"&gt;="&amp;DATE(2021,1,1),'DATA INPUT'!$A$3:$A$3000,"&lt;="&amp;DATE(2021,12,31),'DATA INPUT'!$B$3:$B$3000,$B9)),(COUNTIFS('DATA INPUT'!$A$3:$A$3000,"&gt;="&amp;DATE(2021,1,1),'DATA INPUT'!$A$3:$A$3000,"&lt;="&amp;DATE(2021,12,31),'DATA INPUT'!$B$3:$B$3000,$B9,'DATA INPUT'!$F$3:$F$3000,"&lt;&gt;*Exclude*")))</f>
        <v>0</v>
      </c>
      <c r="H9" s="59">
        <f>IF($L$2="Yes",(COUNTIFS('DATA INPUT'!$A$3:$A$3000,"&gt;="&amp;DATE(2022,1,1),'DATA INPUT'!$A$3:$A$3000,"&lt;="&amp;DATE(2022,12,31),'DATA INPUT'!$B$3:$B$3000,$B9)),(COUNTIFS('DATA INPUT'!$A$3:$A$3000,"&gt;="&amp;DATE(2022,1,1),'DATA INPUT'!$A$3:$A$3000,"&lt;="&amp;DATE(2022,12,31),'DATA INPUT'!$B$3:$B$3000,$B9,'DATA INPUT'!$F$3:$F$3000,"&lt;&gt;*Exclude*")))</f>
        <v>0</v>
      </c>
      <c r="I9" s="59">
        <f>IF($L$2="Yes",(COUNTIFS('DATA INPUT'!$A$3:$A$3000,"&gt;="&amp;DATE(2023,1,1),'DATA INPUT'!$A$3:$A$3000,"&lt;="&amp;DATE(2023,12,31),'DATA INPUT'!$B$3:$B$3000,$B9)),(COUNTIFS('DATA INPUT'!$A$3:$A$3000,"&gt;="&amp;DATE(2023,1,1),'DATA INPUT'!$A$3:$A$3000,"&lt;="&amp;DATE(2023,12,31),'DATA INPUT'!$B$3:$B$3000,$B9,'DATA INPUT'!$F$3:$F$3000,"&lt;&gt;*Exclude*")))</f>
        <v>0</v>
      </c>
      <c r="J9" s="59">
        <f>IF($L$2="Yes",(COUNTIFS('DATA INPUT'!$A$3:$A$3000,"&gt;="&amp;DATE(2024,1,1),'DATA INPUT'!$A$3:$A$3000,"&lt;="&amp;DATE(2024,12,31),'DATA INPUT'!$B$3:$B$3000,$B9)),(COUNTIFS('DATA INPUT'!$A$3:$A$3000,"&gt;="&amp;DATE(2024,1,1),'DATA INPUT'!$A$3:$A$3000,"&lt;="&amp;DATE(2024,12,31),'DATA INPUT'!$B$3:$B$3000,$B9,'DATA INPUT'!$F$3:$F$3000,"&lt;&gt;*Exclude*")))</f>
        <v>0</v>
      </c>
      <c r="K9" s="59">
        <f>IF($L$2="Yes",(COUNTIFS('DATA INPUT'!$A$3:$A$3000,"&gt;="&amp;DATE(2025,1,1),'DATA INPUT'!$A$3:$A$3000,"&lt;="&amp;DATE(2025,12,31),'DATA INPUT'!$B$3:$B$3000,$B9)),(COUNTIFS('DATA INPUT'!$A$3:$A$3000,"&gt;="&amp;DATE(2025,1,1),'DATA INPUT'!$A$3:$A$3000,"&lt;="&amp;DATE(2025,12,31),'DATA INPUT'!$B$3:$B$3000,$B9,'DATA INPUT'!$F$3:$F$3000,"&lt;&gt;*Exclude*")))</f>
        <v>0</v>
      </c>
      <c r="L9" s="48">
        <f t="shared" si="3"/>
        <v>0</v>
      </c>
      <c r="M9" s="49" t="str">
        <f t="shared" si="4"/>
        <v/>
      </c>
      <c r="N9" s="110"/>
      <c r="O9" s="224"/>
      <c r="P9" s="223"/>
      <c r="Q9" s="223"/>
      <c r="R9" s="223"/>
      <c r="S9" s="182"/>
      <c r="T9" s="182"/>
      <c r="U9" s="182"/>
      <c r="V9" s="182"/>
      <c r="W9" s="227"/>
      <c r="X9" s="182"/>
      <c r="Y9" s="149"/>
      <c r="Z9" s="149" t="s">
        <v>18</v>
      </c>
      <c r="AA9" s="136" t="e">
        <f>IF($L$2="Yes",IF(SUMIFS('DATA INPUT'!$E$3:$E$3000,'DATA INPUT'!$B$3:$B$3000,'Report Tables'!AA$1,'DATA INPUT'!$A$3:$A$3000,"&gt;="&amp;DATE(2017,7,1),'DATA INPUT'!$A$3:$A$3000,"&lt;"&amp;DATE(2017,7,31))=0,#N/A,(SUMIFS('DATA INPUT'!$E$3:$E$3000,'DATA INPUT'!$B$3:$B$3000,'Report Tables'!AA$1,'DATA INPUT'!$A$3:$A$3000,"&gt;="&amp;DATE(2017,7,1),'DATA INPUT'!$A$3:$A$3000,"&lt;"&amp;DATE(2017,7,31)))),IF(SUMIFS('DATA INPUT'!$E$3:$E$3000,'DATA INPUT'!$B$3:$B$3000,'Report Tables'!AA$1,'DATA INPUT'!$A$3:$A$3000,"&gt;="&amp;DATE(2017,7,1),'DATA INPUT'!$A$3:$A$3000,"&lt;"&amp;DATE(2017,7,31),'DATA INPUT'!$F$3:$F$3000,"&lt;&gt;*Exclude*")=0,#N/A,(SUMIFS('DATA INPUT'!$E$3:$E$3000,'DATA INPUT'!$B$3:$B$3000,'Report Tables'!AA$1,'DATA INPUT'!$A$3:$A$3000,"&gt;="&amp;DATE(2017,7,1),'DATA INPUT'!$A$3:$A$3000,"&lt;"&amp;DATE(2017,7,31),'DATA INPUT'!$F$3:$F$3000,"&lt;&gt;*Exclude*"))))</f>
        <v>#N/A</v>
      </c>
      <c r="AB9" s="136" t="e">
        <f>IF($L$2="Yes",IF(SUMIFS('DATA INPUT'!$E$3:$E$3000,'DATA INPUT'!$B$3:$B$3000,'Report Tables'!AB$1,'DATA INPUT'!$A$3:$A$3000,"&gt;="&amp;DATE(2017,7,1),'DATA INPUT'!$A$3:$A$3000,"&lt;"&amp;DATE(2017,7,31))=0,#N/A,(SUMIFS('DATA INPUT'!$E$3:$E$3000,'DATA INPUT'!$B$3:$B$3000,'Report Tables'!AB$1,'DATA INPUT'!$A$3:$A$3000,"&gt;="&amp;DATE(2017,7,1),'DATA INPUT'!$A$3:$A$3000,"&lt;"&amp;DATE(2017,7,31)))),IF(SUMIFS('DATA INPUT'!$E$3:$E$3000,'DATA INPUT'!$B$3:$B$3000,'Report Tables'!AB$1,'DATA INPUT'!$A$3:$A$3000,"&gt;="&amp;DATE(2017,7,1),'DATA INPUT'!$A$3:$A$3000,"&lt;"&amp;DATE(2017,7,31),'DATA INPUT'!$F$3:$F$3000,"&lt;&gt;*Exclude*")=0,#N/A,(SUMIFS('DATA INPUT'!$E$3:$E$3000,'DATA INPUT'!$B$3:$B$3000,'Report Tables'!AB$1,'DATA INPUT'!$A$3:$A$3000,"&gt;="&amp;DATE(2017,7,1),'DATA INPUT'!$A$3:$A$3000,"&lt;"&amp;DATE(2017,7,31),'DATA INPUT'!$F$3:$F$3000,"&lt;&gt;*Exclude*"))))</f>
        <v>#N/A</v>
      </c>
      <c r="AC9" s="136" t="e">
        <f>IF($L$2="Yes",IF(SUMIFS('DATA INPUT'!$E$3:$E$3000,'DATA INPUT'!$B$3:$B$3000,'Report Tables'!AC$1,'DATA INPUT'!$A$3:$A$3000,"&gt;="&amp;DATE(2017,7,1),'DATA INPUT'!$A$3:$A$3000,"&lt;"&amp;DATE(2017,7,31))=0,#N/A,(SUMIFS('DATA INPUT'!$E$3:$E$3000,'DATA INPUT'!$B$3:$B$3000,'Report Tables'!AC$1,'DATA INPUT'!$A$3:$A$3000,"&gt;="&amp;DATE(2017,7,1),'DATA INPUT'!$A$3:$A$3000,"&lt;"&amp;DATE(2017,7,31)))),IF(SUMIFS('DATA INPUT'!$E$3:$E$3000,'DATA INPUT'!$B$3:$B$3000,'Report Tables'!AC$1,'DATA INPUT'!$A$3:$A$3000,"&gt;="&amp;DATE(2017,7,1),'DATA INPUT'!$A$3:$A$3000,"&lt;"&amp;DATE(2017,7,31),'DATA INPUT'!$F$3:$F$3000,"&lt;&gt;*Exclude*")=0,#N/A,(SUMIFS('DATA INPUT'!$E$3:$E$3000,'DATA INPUT'!$B$3:$B$3000,'Report Tables'!AC$1,'DATA INPUT'!$A$3:$A$3000,"&gt;="&amp;DATE(2017,7,1),'DATA INPUT'!$A$3:$A$3000,"&lt;"&amp;DATE(2017,7,31),'DATA INPUT'!$F$3:$F$3000,"&lt;&gt;*Exclude*"))))</f>
        <v>#N/A</v>
      </c>
      <c r="AD9" s="136" t="e">
        <f>IF($L$2="Yes",IF(SUMIFS('DATA INPUT'!$E$3:$E$3000,'DATA INPUT'!$B$3:$B$3000,'Report Tables'!AD$1,'DATA INPUT'!$A$3:$A$3000,"&gt;="&amp;DATE(2017,7,1),'DATA INPUT'!$A$3:$A$3000,"&lt;"&amp;DATE(2017,7,31))=0,#N/A,(SUMIFS('DATA INPUT'!$E$3:$E$3000,'DATA INPUT'!$B$3:$B$3000,'Report Tables'!AD$1,'DATA INPUT'!$A$3:$A$3000,"&gt;="&amp;DATE(2017,7,1),'DATA INPUT'!$A$3:$A$3000,"&lt;"&amp;DATE(2017,7,31)))),IF(SUMIFS('DATA INPUT'!$E$3:$E$3000,'DATA INPUT'!$B$3:$B$3000,'Report Tables'!AD$1,'DATA INPUT'!$A$3:$A$3000,"&gt;="&amp;DATE(2017,7,1),'DATA INPUT'!$A$3:$A$3000,"&lt;"&amp;DATE(2017,7,31),'DATA INPUT'!$F$3:$F$3000,"&lt;&gt;*Exclude*")=0,#N/A,(SUMIFS('DATA INPUT'!$E$3:$E$3000,'DATA INPUT'!$B$3:$B$3000,'Report Tables'!AD$1,'DATA INPUT'!$A$3:$A$3000,"&gt;="&amp;DATE(2017,7,1),'DATA INPUT'!$A$3:$A$3000,"&lt;"&amp;DATE(2017,7,31),'DATA INPUT'!$F$3:$F$3000,"&lt;&gt;*Exclude*"))))</f>
        <v>#N/A</v>
      </c>
      <c r="AE9" s="136" t="e">
        <f>IF($L$2="Yes",IF(SUMIFS('DATA INPUT'!$E$3:$E$3000,'DATA INPUT'!$B$3:$B$3000,'Report Tables'!AE$1,'DATA INPUT'!$A$3:$A$3000,"&gt;="&amp;DATE(2017,7,1),'DATA INPUT'!$A$3:$A$3000,"&lt;"&amp;DATE(2017,7,31))=0,#N/A,(SUMIFS('DATA INPUT'!$E$3:$E$3000,'DATA INPUT'!$B$3:$B$3000,'Report Tables'!AE$1,'DATA INPUT'!$A$3:$A$3000,"&gt;="&amp;DATE(2017,7,1),'DATA INPUT'!$A$3:$A$3000,"&lt;"&amp;DATE(2017,7,31)))),IF(SUMIFS('DATA INPUT'!$E$3:$E$3000,'DATA INPUT'!$B$3:$B$3000,'Report Tables'!AE$1,'DATA INPUT'!$A$3:$A$3000,"&gt;="&amp;DATE(2017,7,1),'DATA INPUT'!$A$3:$A$3000,"&lt;"&amp;DATE(2017,7,31),'DATA INPUT'!$F$3:$F$3000,"&lt;&gt;*Exclude*")=0,#N/A,(SUMIFS('DATA INPUT'!$E$3:$E$3000,'DATA INPUT'!$B$3:$B$3000,'Report Tables'!AE$1,'DATA INPUT'!$A$3:$A$3000,"&gt;="&amp;DATE(2017,7,1),'DATA INPUT'!$A$3:$A$3000,"&lt;"&amp;DATE(2017,7,31),'DATA INPUT'!$F$3:$F$3000,"&lt;&gt;*Exclude*"))))</f>
        <v>#N/A</v>
      </c>
      <c r="AF9" s="136" t="e">
        <f>IF($L$2="Yes",IF(SUMIFS('DATA INPUT'!$E$3:$E$3000,'DATA INPUT'!$B$3:$B$3000,'Report Tables'!AF$1,'DATA INPUT'!$A$3:$A$3000,"&gt;="&amp;DATE(2017,7,1),'DATA INPUT'!$A$3:$A$3000,"&lt;"&amp;DATE(2017,7,31))=0,#N/A,(SUMIFS('DATA INPUT'!$E$3:$E$3000,'DATA INPUT'!$B$3:$B$3000,'Report Tables'!AF$1,'DATA INPUT'!$A$3:$A$3000,"&gt;="&amp;DATE(2017,7,1),'DATA INPUT'!$A$3:$A$3000,"&lt;"&amp;DATE(2017,7,31)))),IF(SUMIFS('DATA INPUT'!$E$3:$E$3000,'DATA INPUT'!$B$3:$B$3000,'Report Tables'!AF$1,'DATA INPUT'!$A$3:$A$3000,"&gt;="&amp;DATE(2017,7,1),'DATA INPUT'!$A$3:$A$3000,"&lt;"&amp;DATE(2017,7,31),'DATA INPUT'!$F$3:$F$3000,"&lt;&gt;*Exclude*")=0,#N/A,(SUMIFS('DATA INPUT'!$E$3:$E$3000,'DATA INPUT'!$B$3:$B$3000,'Report Tables'!AF$1,'DATA INPUT'!$A$3:$A$3000,"&gt;="&amp;DATE(2017,7,1),'DATA INPUT'!$A$3:$A$3000,"&lt;"&amp;DATE(2017,7,31),'DATA INPUT'!$F$3:$F$3000,"&lt;&gt;*Exclude*"))))</f>
        <v>#N/A</v>
      </c>
      <c r="AG9" s="136" t="e">
        <f>IF($L$2="Yes",IF(SUMIFS('DATA INPUT'!$E$3:$E$3000,'DATA INPUT'!$B$3:$B$3000,'Report Tables'!AG$1,'DATA INPUT'!$A$3:$A$3000,"&gt;="&amp;DATE(2017,7,1),'DATA INPUT'!$A$3:$A$3000,"&lt;"&amp;DATE(2017,7,31))=0,#N/A,(SUMIFS('DATA INPUT'!$E$3:$E$3000,'DATA INPUT'!$B$3:$B$3000,'Report Tables'!AG$1,'DATA INPUT'!$A$3:$A$3000,"&gt;="&amp;DATE(2017,7,1),'DATA INPUT'!$A$3:$A$3000,"&lt;"&amp;DATE(2017,7,31)))),IF(SUMIFS('DATA INPUT'!$E$3:$E$3000,'DATA INPUT'!$B$3:$B$3000,'Report Tables'!AG$1,'DATA INPUT'!$A$3:$A$3000,"&gt;="&amp;DATE(2017,7,1),'DATA INPUT'!$A$3:$A$3000,"&lt;"&amp;DATE(2017,7,31),'DATA INPUT'!$F$3:$F$3000,"&lt;&gt;*Exclude*")=0,#N/A,(SUMIFS('DATA INPUT'!$E$3:$E$3000,'DATA INPUT'!$B$3:$B$3000,'Report Tables'!AG$1,'DATA INPUT'!$A$3:$A$3000,"&gt;="&amp;DATE(2017,7,1),'DATA INPUT'!$A$3:$A$3000,"&lt;"&amp;DATE(2017,7,31),'DATA INPUT'!$F$3:$F$3000,"&lt;&gt;*Exclude*"))))</f>
        <v>#N/A</v>
      </c>
      <c r="AH9" s="136" t="e">
        <f>IF($L$2="Yes",IF(SUMIFS('DATA INPUT'!$E$3:$E$3000,'DATA INPUT'!$B$3:$B$3000,'Report Tables'!AH$1,'DATA INPUT'!$A$3:$A$3000,"&gt;="&amp;DATE(2017,7,1),'DATA INPUT'!$A$3:$A$3000,"&lt;"&amp;DATE(2017,7,31))=0,#N/A,(SUMIFS('DATA INPUT'!$E$3:$E$3000,'DATA INPUT'!$B$3:$B$3000,'Report Tables'!AH$1,'DATA INPUT'!$A$3:$A$3000,"&gt;="&amp;DATE(2017,7,1),'DATA INPUT'!$A$3:$A$3000,"&lt;"&amp;DATE(2017,7,31)))),IF(SUMIFS('DATA INPUT'!$E$3:$E$3000,'DATA INPUT'!$B$3:$B$3000,'Report Tables'!AH$1,'DATA INPUT'!$A$3:$A$3000,"&gt;="&amp;DATE(2017,7,1),'DATA INPUT'!$A$3:$A$3000,"&lt;"&amp;DATE(2017,7,31),'DATA INPUT'!$F$3:$F$3000,"&lt;&gt;*Exclude*")=0,#N/A,(SUMIFS('DATA INPUT'!$E$3:$E$3000,'DATA INPUT'!$B$3:$B$3000,'Report Tables'!AH$1,'DATA INPUT'!$A$3:$A$3000,"&gt;="&amp;DATE(2017,7,1),'DATA INPUT'!$A$3:$A$3000,"&lt;"&amp;DATE(2017,7,31),'DATA INPUT'!$F$3:$F$3000,"&lt;&gt;*Exclude*"))))</f>
        <v>#N/A</v>
      </c>
      <c r="AI9" s="136" t="e">
        <f t="shared" si="0"/>
        <v>#N/A</v>
      </c>
      <c r="AJ9" s="136" t="e">
        <f>IF($L$2="Yes",IF(SUMIFS('DATA INPUT'!$D$3:$D$3000,'DATA INPUT'!$A$3:$A$3000,"&gt;="&amp;DATE(2017,7,1),'DATA INPUT'!$A$3:$A$3000,"&lt;"&amp;DATE(2017,7,31),'DATA INPUT'!$G$3:$G$3000,"&lt;&gt;*School service*")=0,#N/A,(SUMIFS('DATA INPUT'!$D$3:$D$3000,'DATA INPUT'!$A$3:$A$3000,"&gt;="&amp;DATE(2017,7,1),'DATA INPUT'!$A$3:$A$3000,"&lt;"&amp;DATE(2017,7,31),'DATA INPUT'!$G$3:$G$3000,"&lt;&gt;*School service*"))),IF(SUMIFS('DATA INPUT'!$D$3:$D$3000,'DATA INPUT'!$A$3:$A$3000,"&gt;="&amp;DATE(2017,7,1),'DATA INPUT'!$A$3:$A$3000,"&lt;"&amp;DATE(2017,7,31),'DATA INPUT'!$F$3:$F$3000,"&lt;&gt;*Exclude*",'DATA INPUT'!$G$3:$G$3000,"&lt;&gt;*School service*")=0,#N/A,(SUMIFS('DATA INPUT'!$D$3:$D$3000,'DATA INPUT'!$A$3:$A$3000,"&gt;="&amp;DATE(2017,7,1),'DATA INPUT'!$A$3:$A$3000,"&lt;"&amp;DATE(2017,7,31),'DATA INPUT'!$F$3:$F$3000,"&lt;&gt;*Exclude*",'DATA INPUT'!$G$3:$G$3000,"&lt;&gt;*School service*"))))</f>
        <v>#N/A</v>
      </c>
      <c r="AK9" s="136" t="e">
        <f>AI9-AJ9</f>
        <v>#N/A</v>
      </c>
      <c r="AM9" s="117" t="e">
        <f>IF($L$2="Yes",IFERROR((SUMIFS('DATA INPUT'!$E$3:$E$3000,'DATA INPUT'!$B$3:$B$3000,'Report Tables'!AM$1,'DATA INPUT'!$A$3:$A$3000,"&gt;="&amp;DATE(2017,7,1),'DATA INPUT'!$A$3:$A$3000,"&lt;"&amp;DATE(2017,7,31)))/COUNTIFS('DATA INPUT'!$B$3:$B$3000,'Report Tables'!AM$1,'DATA INPUT'!$A$3:$A$3000,"&gt;="&amp;DATE(2017,7,1),'DATA INPUT'!$A$3:$A$3000,"&lt;"&amp;DATE(2017,7,31)),#N/A),IFERROR((SUMIFS('DATA INPUT'!$E$3:$E$3000,'DATA INPUT'!$B$3:$B$3000,'Report Tables'!AM$1,'DATA INPUT'!$A$3:$A$3000,"&gt;="&amp;DATE(2017,7,1),'DATA INPUT'!$A$3:$A$3000,"&lt;"&amp;DATE(2017,7,31),'DATA INPUT'!$F$3:$F$3000,"&lt;&gt;*Exclude*"))/(COUNTIFS('DATA INPUT'!$B$3:$B$3000,'Report Tables'!AM$1,'DATA INPUT'!$A$3:$A$3000,"&gt;="&amp;DATE(2017,7,1),'DATA INPUT'!$A$3:$A$3000,"&lt;"&amp;DATE(2017,7,31),'DATA INPUT'!$F$3:$F$3000,"&lt;&gt;*Exclude*")),#N/A))</f>
        <v>#N/A</v>
      </c>
      <c r="AN9" s="117" t="e">
        <f>IF($L$2="Yes",IFERROR((SUMIFS('DATA INPUT'!$E$3:$E$3000,'DATA INPUT'!$B$3:$B$3000,'Report Tables'!AN$1,'DATA INPUT'!$A$3:$A$3000,"&gt;="&amp;DATE(2017,7,1),'DATA INPUT'!$A$3:$A$3000,"&lt;"&amp;DATE(2017,7,31)))/COUNTIFS('DATA INPUT'!$B$3:$B$3000,'Report Tables'!AN$1,'DATA INPUT'!$A$3:$A$3000,"&gt;="&amp;DATE(2017,7,1),'DATA INPUT'!$A$3:$A$3000,"&lt;"&amp;DATE(2017,7,31)),#N/A),IFERROR((SUMIFS('DATA INPUT'!$E$3:$E$3000,'DATA INPUT'!$B$3:$B$3000,'Report Tables'!AN$1,'DATA INPUT'!$A$3:$A$3000,"&gt;="&amp;DATE(2017,7,1),'DATA INPUT'!$A$3:$A$3000,"&lt;"&amp;DATE(2017,7,31),'DATA INPUT'!$F$3:$F$3000,"&lt;&gt;*Exclude*"))/(COUNTIFS('DATA INPUT'!$B$3:$B$3000,'Report Tables'!AN$1,'DATA INPUT'!$A$3:$A$3000,"&gt;="&amp;DATE(2017,7,1),'DATA INPUT'!$A$3:$A$3000,"&lt;"&amp;DATE(2017,7,31),'DATA INPUT'!$F$3:$F$3000,"&lt;&gt;*Exclude*")),#N/A))</f>
        <v>#N/A</v>
      </c>
      <c r="AO9" s="117" t="e">
        <f>IF($L$2="Yes",IFERROR((SUMIFS('DATA INPUT'!$E$3:$E$3000,'DATA INPUT'!$B$3:$B$3000,'Report Tables'!AO$1,'DATA INPUT'!$A$3:$A$3000,"&gt;="&amp;DATE(2017,7,1),'DATA INPUT'!$A$3:$A$3000,"&lt;"&amp;DATE(2017,7,31)))/COUNTIFS('DATA INPUT'!$B$3:$B$3000,'Report Tables'!AO$1,'DATA INPUT'!$A$3:$A$3000,"&gt;="&amp;DATE(2017,7,1),'DATA INPUT'!$A$3:$A$3000,"&lt;"&amp;DATE(2017,7,31)),#N/A),IFERROR((SUMIFS('DATA INPUT'!$E$3:$E$3000,'DATA INPUT'!$B$3:$B$3000,'Report Tables'!AO$1,'DATA INPUT'!$A$3:$A$3000,"&gt;="&amp;DATE(2017,7,1),'DATA INPUT'!$A$3:$A$3000,"&lt;"&amp;DATE(2017,7,31),'DATA INPUT'!$F$3:$F$3000,"&lt;&gt;*Exclude*"))/(COUNTIFS('DATA INPUT'!$B$3:$B$3000,'Report Tables'!AO$1,'DATA INPUT'!$A$3:$A$3000,"&gt;="&amp;DATE(2017,7,1),'DATA INPUT'!$A$3:$A$3000,"&lt;"&amp;DATE(2017,7,31),'DATA INPUT'!$F$3:$F$3000,"&lt;&gt;*Exclude*")),#N/A))</f>
        <v>#N/A</v>
      </c>
      <c r="AP9" s="117" t="e">
        <f>IF($L$2="Yes",IFERROR((SUMIFS('DATA INPUT'!$E$3:$E$3000,'DATA INPUT'!$B$3:$B$3000,'Report Tables'!AP$1,'DATA INPUT'!$A$3:$A$3000,"&gt;="&amp;DATE(2017,7,1),'DATA INPUT'!$A$3:$A$3000,"&lt;"&amp;DATE(2017,7,31)))/COUNTIFS('DATA INPUT'!$B$3:$B$3000,'Report Tables'!AP$1,'DATA INPUT'!$A$3:$A$3000,"&gt;="&amp;DATE(2017,7,1),'DATA INPUT'!$A$3:$A$3000,"&lt;"&amp;DATE(2017,7,31)),#N/A),IFERROR((SUMIFS('DATA INPUT'!$E$3:$E$3000,'DATA INPUT'!$B$3:$B$3000,'Report Tables'!AP$1,'DATA INPUT'!$A$3:$A$3000,"&gt;="&amp;DATE(2017,7,1),'DATA INPUT'!$A$3:$A$3000,"&lt;"&amp;DATE(2017,7,31),'DATA INPUT'!$F$3:$F$3000,"&lt;&gt;*Exclude*"))/(COUNTIFS('DATA INPUT'!$B$3:$B$3000,'Report Tables'!AP$1,'DATA INPUT'!$A$3:$A$3000,"&gt;="&amp;DATE(2017,7,1),'DATA INPUT'!$A$3:$A$3000,"&lt;"&amp;DATE(2017,7,31),'DATA INPUT'!$F$3:$F$3000,"&lt;&gt;*Exclude*")),#N/A))</f>
        <v>#N/A</v>
      </c>
      <c r="AQ9" s="117" t="e">
        <f>IF($L$2="Yes",IFERROR((SUMIFS('DATA INPUT'!$E$3:$E$3000,'DATA INPUT'!$B$3:$B$3000,'Report Tables'!AQ$1,'DATA INPUT'!$A$3:$A$3000,"&gt;="&amp;DATE(2017,7,1),'DATA INPUT'!$A$3:$A$3000,"&lt;"&amp;DATE(2017,7,31)))/COUNTIFS('DATA INPUT'!$B$3:$B$3000,'Report Tables'!AQ$1,'DATA INPUT'!$A$3:$A$3000,"&gt;="&amp;DATE(2017,7,1),'DATA INPUT'!$A$3:$A$3000,"&lt;"&amp;DATE(2017,7,31)),#N/A),IFERROR((SUMIFS('DATA INPUT'!$E$3:$E$3000,'DATA INPUT'!$B$3:$B$3000,'Report Tables'!AQ$1,'DATA INPUT'!$A$3:$A$3000,"&gt;="&amp;DATE(2017,7,1),'DATA INPUT'!$A$3:$A$3000,"&lt;"&amp;DATE(2017,7,31),'DATA INPUT'!$F$3:$F$3000,"&lt;&gt;*Exclude*"))/(COUNTIFS('DATA INPUT'!$B$3:$B$3000,'Report Tables'!AQ$1,'DATA INPUT'!$A$3:$A$3000,"&gt;="&amp;DATE(2017,7,1),'DATA INPUT'!$A$3:$A$3000,"&lt;"&amp;DATE(2017,7,31),'DATA INPUT'!$F$3:$F$3000,"&lt;&gt;*Exclude*")),#N/A))</f>
        <v>#N/A</v>
      </c>
      <c r="AR9" s="117" t="e">
        <f>IF($L$2="Yes",IFERROR((SUMIFS('DATA INPUT'!$E$3:$E$3000,'DATA INPUT'!$B$3:$B$3000,'Report Tables'!AR$1,'DATA INPUT'!$A$3:$A$3000,"&gt;="&amp;DATE(2017,7,1),'DATA INPUT'!$A$3:$A$3000,"&lt;"&amp;DATE(2017,7,31)))/COUNTIFS('DATA INPUT'!$B$3:$B$3000,'Report Tables'!AR$1,'DATA INPUT'!$A$3:$A$3000,"&gt;="&amp;DATE(2017,7,1),'DATA INPUT'!$A$3:$A$3000,"&lt;"&amp;DATE(2017,7,31)),#N/A),IFERROR((SUMIFS('DATA INPUT'!$E$3:$E$3000,'DATA INPUT'!$B$3:$B$3000,'Report Tables'!AR$1,'DATA INPUT'!$A$3:$A$3000,"&gt;="&amp;DATE(2017,7,1),'DATA INPUT'!$A$3:$A$3000,"&lt;"&amp;DATE(2017,7,31),'DATA INPUT'!$F$3:$F$3000,"&lt;&gt;*Exclude*"))/(COUNTIFS('DATA INPUT'!$B$3:$B$3000,'Report Tables'!AR$1,'DATA INPUT'!$A$3:$A$3000,"&gt;="&amp;DATE(2017,7,1),'DATA INPUT'!$A$3:$A$3000,"&lt;"&amp;DATE(2017,7,31),'DATA INPUT'!$F$3:$F$3000,"&lt;&gt;*Exclude*")),#N/A))</f>
        <v>#N/A</v>
      </c>
      <c r="AS9" s="117" t="e">
        <f>IF($L$2="Yes",IFERROR((SUMIFS('DATA INPUT'!$E$3:$E$3000,'DATA INPUT'!$B$3:$B$3000,'Report Tables'!AS$1,'DATA INPUT'!$A$3:$A$3000,"&gt;="&amp;DATE(2017,7,1),'DATA INPUT'!$A$3:$A$3000,"&lt;"&amp;DATE(2017,7,31)))/COUNTIFS('DATA INPUT'!$B$3:$B$3000,'Report Tables'!AS$1,'DATA INPUT'!$A$3:$A$3000,"&gt;="&amp;DATE(2017,7,1),'DATA INPUT'!$A$3:$A$3000,"&lt;"&amp;DATE(2017,7,31)),#N/A),IFERROR((SUMIFS('DATA INPUT'!$E$3:$E$3000,'DATA INPUT'!$B$3:$B$3000,'Report Tables'!AS$1,'DATA INPUT'!$A$3:$A$3000,"&gt;="&amp;DATE(2017,7,1),'DATA INPUT'!$A$3:$A$3000,"&lt;"&amp;DATE(2017,7,31),'DATA INPUT'!$F$3:$F$3000,"&lt;&gt;*Exclude*"))/(COUNTIFS('DATA INPUT'!$B$3:$B$3000,'Report Tables'!AS$1,'DATA INPUT'!$A$3:$A$3000,"&gt;="&amp;DATE(2017,7,1),'DATA INPUT'!$A$3:$A$3000,"&lt;"&amp;DATE(2017,7,31),'DATA INPUT'!$F$3:$F$3000,"&lt;&gt;*Exclude*")),#N/A))</f>
        <v>#N/A</v>
      </c>
      <c r="AT9" s="117" t="e">
        <f>IF($L$2="Yes",IFERROR((SUMIFS('DATA INPUT'!$E$3:$E$3000,'DATA INPUT'!$B$3:$B$3000,'Report Tables'!AT$1,'DATA INPUT'!$A$3:$A$3000,"&gt;="&amp;DATE(2017,7,1),'DATA INPUT'!$A$3:$A$3000,"&lt;"&amp;DATE(2017,7,31)))/COUNTIFS('DATA INPUT'!$B$3:$B$3000,'Report Tables'!AT$1,'DATA INPUT'!$A$3:$A$3000,"&gt;="&amp;DATE(2017,7,1),'DATA INPUT'!$A$3:$A$3000,"&lt;"&amp;DATE(2017,7,31)),#N/A),IFERROR((SUMIFS('DATA INPUT'!$E$3:$E$3000,'DATA INPUT'!$B$3:$B$3000,'Report Tables'!AT$1,'DATA INPUT'!$A$3:$A$3000,"&gt;="&amp;DATE(2017,7,1),'DATA INPUT'!$A$3:$A$3000,"&lt;"&amp;DATE(2017,7,31),'DATA INPUT'!$F$3:$F$3000,"&lt;&gt;*Exclude*"))/(COUNTIFS('DATA INPUT'!$B$3:$B$3000,'Report Tables'!AT$1,'DATA INPUT'!$A$3:$A$3000,"&gt;="&amp;DATE(2017,7,1),'DATA INPUT'!$A$3:$A$3000,"&lt;"&amp;DATE(2017,7,31),'DATA INPUT'!$F$3:$F$3000,"&lt;&gt;*Exclude*")),#N/A))</f>
        <v>#N/A</v>
      </c>
      <c r="AU9" s="117" t="e">
        <f t="shared" si="1"/>
        <v>#N/A</v>
      </c>
      <c r="AV9" s="117" t="e">
        <f>IF($L$2="Yes",IFERROR((SUMIFS('DATA INPUT'!$D$3:$D$3000,'DATA INPUT'!$A$3:$A$3000,"&gt;="&amp;DATE(2017,7,1),'DATA INPUT'!$A$3:$A$3000,"&lt;"&amp;DATE(2017,7,31),'DATA INPUT'!$G$3:$G$3000,"&lt;&gt;*School service*"))/COUNTIFS('DATA INPUT'!$A$3:$A$3000,"&gt;="&amp;DATE(2017,7,1),'DATA INPUT'!$A$3:$A$3000,"&lt;"&amp;DATE(2017,7,31),'DATA INPUT'!$G$3:$G$3000,"&lt;&gt;*School service*",'DATA INPUT'!$D$3:$D$3000,"&lt;&gt;"&amp;""),#N/A),IFERROR((SUMIFS('DATA INPUT'!$D$3:$D$3000,'DATA INPUT'!$A$3:$A$3000,"&gt;="&amp;DATE(2017,7,1),'DATA INPUT'!$A$3:$A$3000,"&lt;"&amp;DATE(2017,7,31),'DATA INPUT'!$F$3:$F$3000,"&lt;&gt;*Exclude*",'DATA INPUT'!$G$3:$G$3000,"&lt;&gt;*School service*"))/(COUNTIFS('DATA INPUT'!$A$3:$A$3000,"&gt;="&amp;DATE(2017,7,1),'DATA INPUT'!$A$3:$A$3000,"&lt;"&amp;DATE(2017,7,31),'DATA INPUT'!$F$3:$F$3000,"&lt;&gt;*Exclude*",'DATA INPUT'!$G$3:$G$3000,"&lt;&gt;*School service*",'DATA INPUT'!$D$3:$D$3000,"&lt;&gt;"&amp;"")),#N/A))</f>
        <v>#N/A</v>
      </c>
      <c r="AW9" s="117" t="e">
        <f t="shared" si="2"/>
        <v>#N/A</v>
      </c>
      <c r="AX9" s="117" t="e">
        <f>IF($L$2="Yes",IFERROR((SUMIFS('DATA INPUT'!$E$3:$E$3000,'DATA INPUT'!$B$3:$B$3000,'Report Tables'!AX$1,'DATA INPUT'!$A$3:$A$3000,"&gt;="&amp;DATE(2017,7,1),'DATA INPUT'!$A$3:$A$3000,"&lt;"&amp;DATE(2017,7,31)))/COUNTIFS('DATA INPUT'!$B$3:$B$3000,'Report Tables'!AX$1,'DATA INPUT'!$A$3:$A$3000,"&gt;="&amp;DATE(2017,7,1),'DATA INPUT'!$A$3:$A$3000,"&lt;"&amp;DATE(2017,7,31)),#N/A),IFERROR((SUMIFS('DATA INPUT'!$E$3:$E$3000,'DATA INPUT'!$B$3:$B$3000,'Report Tables'!AX$1,'DATA INPUT'!$A$3:$A$3000,"&gt;="&amp;DATE(2017,7,1),'DATA INPUT'!$A$3:$A$3000,"&lt;"&amp;DATE(2017,7,31),'DATA INPUT'!$F$3:$F$3000,"&lt;&gt;*Exclude*"))/(COUNTIFS('DATA INPUT'!$B$3:$B$3000,'Report Tables'!AX$1,'DATA INPUT'!$A$3:$A$3000,"&gt;="&amp;DATE(2017,7,1),'DATA INPUT'!$A$3:$A$3000,"&lt;"&amp;DATE(2017,7,31),'DATA INPUT'!$F$3:$F$3000,"&lt;&gt;*Exclude*")),#N/A))</f>
        <v>#N/A</v>
      </c>
      <c r="AY9" s="117" t="e">
        <f>IF($L$2="Yes",IFERROR((SUMIFS('DATA INPUT'!$D$3:$D$3000,'DATA INPUT'!$B$3:$B$3000,'Report Tables'!AX$1,'DATA INPUT'!$A$3:$A$3000,"&gt;="&amp;DATE(2017,7,1),'DATA INPUT'!$A$3:$A$3000,"&lt;"&amp;DATE(2017,7,31)))/COUNTIFS('DATA INPUT'!$B$3:$B$3000,'Report Tables'!AX$1,'DATA INPUT'!$A$3:$A$3000,"&gt;="&amp;DATE(2017,7,1),'DATA INPUT'!$A$3:$A$3000,"&lt;"&amp;DATE(2017,7,31)),#N/A),IFERROR((SUMIFS('DATA INPUT'!$D$3:$D$3000,'DATA INPUT'!$B$3:$B$3000,'Report Tables'!AX$1,'DATA INPUT'!$A$3:$A$3000,"&gt;="&amp;DATE(2017,7,1),'DATA INPUT'!$A$3:$A$3000,"&lt;"&amp;DATE(2017,7,31),'DATA INPUT'!$F$3:$F$3000,"&lt;&gt;*Exclude*"))/(COUNTIFS('DATA INPUT'!$B$3:$B$3000,'Report Tables'!AX$1,'DATA INPUT'!$A$3:$A$3000,"&gt;="&amp;DATE(2017,7,1),'DATA INPUT'!$A$3:$A$3000,"&lt;"&amp;DATE(2017,7,31),'DATA INPUT'!$F$3:$F$3000,"&lt;&gt;*Exclude*")),#N/A))</f>
        <v>#N/A</v>
      </c>
      <c r="AZ9" s="117" t="e">
        <f>IF($L$2="Yes",IFERROR((SUMIFS('DATA INPUT'!$C$3:$C$3000,'DATA INPUT'!$B$3:$B$3000,'Report Tables'!AX$1,'DATA INPUT'!$A$3:$A$3000,"&gt;="&amp;DATE(2017,7,1),'DATA INPUT'!$A$3:$A$3000,"&lt;"&amp;DATE(2017,7,31)))/COUNTIFS('DATA INPUT'!$B$3:$B$3000,'Report Tables'!AX$1,'DATA INPUT'!$A$3:$A$3000,"&gt;="&amp;DATE(2017,7,1),'DATA INPUT'!$A$3:$A$3000,"&lt;"&amp;DATE(2017,7,31)),#N/A),IFERROR((SUMIFS('DATA INPUT'!$C$3:$C$3000,'DATA INPUT'!$B$3:$B$3000,'Report Tables'!AX$1,'DATA INPUT'!$A$3:$A$3000,"&gt;="&amp;DATE(2017,7,1),'DATA INPUT'!$A$3:$A$3000,"&lt;"&amp;DATE(2017,7,31),'DATA INPUT'!$F$3:$F$3000,"&lt;&gt;*Exclude*"))/(COUNTIFS('DATA INPUT'!$B$3:$B$3000,'Report Tables'!AX$1,'DATA INPUT'!$A$3:$A$3000,"&gt;="&amp;DATE(2017,7,1),'DATA INPUT'!$A$3:$A$3000,"&lt;"&amp;DATE(2017,7,31),'DATA INPUT'!$F$3:$F$3000,"&lt;&gt;*Exclude*")),#N/A))</f>
        <v>#N/A</v>
      </c>
    </row>
    <row r="10" spans="1:52" x14ac:dyDescent="0.3">
      <c r="A10" s="95" t="e">
        <f>VLOOKUP(B10,Information!$C$8:$F$15,4,FALSE)</f>
        <v>#N/A</v>
      </c>
      <c r="B10" s="52">
        <f>Information!C13</f>
        <v>0</v>
      </c>
      <c r="C10" s="59">
        <f>IF($L$2="Yes",(COUNTIFS('DATA INPUT'!$A$3:$A$3000,"&gt;="&amp;DATE(2017,1,1),'DATA INPUT'!$A$3:$A$3000,"&lt;="&amp;DATE(2017,12,31),'DATA INPUT'!$B$3:$B$3000,$B10)),(COUNTIFS('DATA INPUT'!$A$3:$A$3000,"&gt;="&amp;DATE(2017,1,1),'DATA INPUT'!$A$3:$A$3000,"&lt;="&amp;DATE(2017,12,31),'DATA INPUT'!$B$3:$B$3000,$B10,'DATA INPUT'!$F$3:$F$3000,"&lt;&gt;*Exclude*")))</f>
        <v>0</v>
      </c>
      <c r="D10" s="59">
        <f>IF($L$2="Yes",(COUNTIFS('DATA INPUT'!$A$3:$A$3000,"&gt;="&amp;DATE(2018,1,1),'DATA INPUT'!$A$3:$A$3000,"&lt;="&amp;DATE(2018,12,31),'DATA INPUT'!$B$3:$B$3000,$B10)),(COUNTIFS('DATA INPUT'!$A$3:$A$3000,"&gt;="&amp;DATE(2018,1,1),'DATA INPUT'!$A$3:$A$3000,"&lt;="&amp;DATE(2018,12,31),'DATA INPUT'!$B$3:$B$3000,$B10,'DATA INPUT'!$F$3:$F$3000,"&lt;&gt;*Exclude*")))</f>
        <v>0</v>
      </c>
      <c r="E10" s="59">
        <f>IF($L$2="Yes",(COUNTIFS('DATA INPUT'!$A$3:$A$3000,"&gt;="&amp;DATE(2019,1,1),'DATA INPUT'!$A$3:$A$3000,"&lt;="&amp;DATE(2019,12,31),'DATA INPUT'!$B$3:$B$3000,$B10)),(COUNTIFS('DATA INPUT'!$A$3:$A$3000,"&gt;="&amp;DATE(2019,1,1),'DATA INPUT'!$A$3:$A$3000,"&lt;="&amp;DATE(2019,12,31),'DATA INPUT'!$B$3:$B$3000,$B10,'DATA INPUT'!$F$3:$F$3000,"&lt;&gt;*Exclude*")))</f>
        <v>0</v>
      </c>
      <c r="F10" s="59">
        <f>IF($L$2="Yes",(COUNTIFS('DATA INPUT'!$A$3:$A$3000,"&gt;="&amp;DATE(2020,1,1),'DATA INPUT'!$A$3:$A$3000,"&lt;="&amp;DATE(2020,12,31),'DATA INPUT'!$B$3:$B$3000,$B10)),(COUNTIFS('DATA INPUT'!$A$3:$A$3000,"&gt;="&amp;DATE(2020,1,1),'DATA INPUT'!$A$3:$A$3000,"&lt;="&amp;DATE(2020,12,31),'DATA INPUT'!$B$3:$B$3000,$B10,'DATA INPUT'!$F$3:$F$3000,"&lt;&gt;*Exclude*")))</f>
        <v>0</v>
      </c>
      <c r="G10" s="59">
        <f>IF($L$2="Yes",(COUNTIFS('DATA INPUT'!$A$3:$A$3000,"&gt;="&amp;DATE(2021,1,1),'DATA INPUT'!$A$3:$A$3000,"&lt;="&amp;DATE(2021,12,31),'DATA INPUT'!$B$3:$B$3000,$B10)),(COUNTIFS('DATA INPUT'!$A$3:$A$3000,"&gt;="&amp;DATE(2021,1,1),'DATA INPUT'!$A$3:$A$3000,"&lt;="&amp;DATE(2021,12,31),'DATA INPUT'!$B$3:$B$3000,$B10,'DATA INPUT'!$F$3:$F$3000,"&lt;&gt;*Exclude*")))</f>
        <v>0</v>
      </c>
      <c r="H10" s="59">
        <f>IF($L$2="Yes",(COUNTIFS('DATA INPUT'!$A$3:$A$3000,"&gt;="&amp;DATE(2022,1,1),'DATA INPUT'!$A$3:$A$3000,"&lt;="&amp;DATE(2022,12,31),'DATA INPUT'!$B$3:$B$3000,$B10)),(COUNTIFS('DATA INPUT'!$A$3:$A$3000,"&gt;="&amp;DATE(2022,1,1),'DATA INPUT'!$A$3:$A$3000,"&lt;="&amp;DATE(2022,12,31),'DATA INPUT'!$B$3:$B$3000,$B10,'DATA INPUT'!$F$3:$F$3000,"&lt;&gt;*Exclude*")))</f>
        <v>0</v>
      </c>
      <c r="I10" s="59">
        <f>IF($L$2="Yes",(COUNTIFS('DATA INPUT'!$A$3:$A$3000,"&gt;="&amp;DATE(2023,1,1),'DATA INPUT'!$A$3:$A$3000,"&lt;="&amp;DATE(2023,12,31),'DATA INPUT'!$B$3:$B$3000,$B10)),(COUNTIFS('DATA INPUT'!$A$3:$A$3000,"&gt;="&amp;DATE(2023,1,1),'DATA INPUT'!$A$3:$A$3000,"&lt;="&amp;DATE(2023,12,31),'DATA INPUT'!$B$3:$B$3000,$B10,'DATA INPUT'!$F$3:$F$3000,"&lt;&gt;*Exclude*")))</f>
        <v>0</v>
      </c>
      <c r="J10" s="59">
        <f>IF($L$2="Yes",(COUNTIFS('DATA INPUT'!$A$3:$A$3000,"&gt;="&amp;DATE(2024,1,1),'DATA INPUT'!$A$3:$A$3000,"&lt;="&amp;DATE(2024,12,31),'DATA INPUT'!$B$3:$B$3000,$B10)),(COUNTIFS('DATA INPUT'!$A$3:$A$3000,"&gt;="&amp;DATE(2024,1,1),'DATA INPUT'!$A$3:$A$3000,"&lt;="&amp;DATE(2024,12,31),'DATA INPUT'!$B$3:$B$3000,$B10,'DATA INPUT'!$F$3:$F$3000,"&lt;&gt;*Exclude*")))</f>
        <v>0</v>
      </c>
      <c r="K10" s="59">
        <f>IF($L$2="Yes",(COUNTIFS('DATA INPUT'!$A$3:$A$3000,"&gt;="&amp;DATE(2025,1,1),'DATA INPUT'!$A$3:$A$3000,"&lt;="&amp;DATE(2025,12,31),'DATA INPUT'!$B$3:$B$3000,$B10)),(COUNTIFS('DATA INPUT'!$A$3:$A$3000,"&gt;="&amp;DATE(2025,1,1),'DATA INPUT'!$A$3:$A$3000,"&lt;="&amp;DATE(2025,12,31),'DATA INPUT'!$B$3:$B$3000,$B10,'DATA INPUT'!$F$3:$F$3000,"&lt;&gt;*Exclude*")))</f>
        <v>0</v>
      </c>
      <c r="L10" s="48">
        <f t="shared" si="3"/>
        <v>0</v>
      </c>
      <c r="M10" s="49" t="str">
        <f t="shared" si="4"/>
        <v/>
      </c>
      <c r="N10" s="110"/>
      <c r="O10" s="224"/>
      <c r="P10" s="225"/>
      <c r="Q10" s="225"/>
      <c r="R10" s="225"/>
      <c r="S10" s="229"/>
      <c r="T10" s="229"/>
      <c r="U10" s="229"/>
      <c r="V10" s="229"/>
      <c r="W10" s="229"/>
      <c r="X10" s="182"/>
      <c r="Y10" s="149"/>
      <c r="Z10" s="149" t="s">
        <v>19</v>
      </c>
      <c r="AA10" s="136" t="e">
        <f>IF($L$2="Yes",IF(SUMIFS('DATA INPUT'!$E$3:$E$3000,'DATA INPUT'!$B$3:$B$3000,'Report Tables'!AA$1,'DATA INPUT'!$A$3:$A$3000,"&gt;="&amp;DATE(2017,8,1),'DATA INPUT'!$A$3:$A$3000,"&lt;"&amp;DATE(2017,8,31))=0,#N/A,(SUMIFS('DATA INPUT'!$E$3:$E$3000,'DATA INPUT'!$B$3:$B$3000,'Report Tables'!AA$1,'DATA INPUT'!$A$3:$A$3000,"&gt;="&amp;DATE(2017,8,1),'DATA INPUT'!$A$3:$A$3000,"&lt;"&amp;DATE(2017,8,31)))),IF(SUMIFS('DATA INPUT'!$E$3:$E$3000,'DATA INPUT'!$B$3:$B$3000,'Report Tables'!AA$1,'DATA INPUT'!$A$3:$A$3000,"&gt;="&amp;DATE(2017,8,1),'DATA INPUT'!$A$3:$A$3000,"&lt;"&amp;DATE(2017,8,31),'DATA INPUT'!$F$3:$F$3000,"&lt;&gt;*Exclude*")=0,#N/A,(SUMIFS('DATA INPUT'!$E$3:$E$3000,'DATA INPUT'!$B$3:$B$3000,'Report Tables'!AA$1,'DATA INPUT'!$A$3:$A$3000,"&gt;="&amp;DATE(2017,8,1),'DATA INPUT'!$A$3:$A$3000,"&lt;"&amp;DATE(2017,8,31),'DATA INPUT'!$F$3:$F$3000,"&lt;&gt;*Exclude*"))))</f>
        <v>#N/A</v>
      </c>
      <c r="AB10" s="136" t="e">
        <f>IF($L$2="Yes",IF(SUMIFS('DATA INPUT'!$E$3:$E$3000,'DATA INPUT'!$B$3:$B$3000,'Report Tables'!AB$1,'DATA INPUT'!$A$3:$A$3000,"&gt;="&amp;DATE(2017,8,1),'DATA INPUT'!$A$3:$A$3000,"&lt;"&amp;DATE(2017,8,31))=0,#N/A,(SUMIFS('DATA INPUT'!$E$3:$E$3000,'DATA INPUT'!$B$3:$B$3000,'Report Tables'!AB$1,'DATA INPUT'!$A$3:$A$3000,"&gt;="&amp;DATE(2017,8,1),'DATA INPUT'!$A$3:$A$3000,"&lt;"&amp;DATE(2017,8,31)))),IF(SUMIFS('DATA INPUT'!$E$3:$E$3000,'DATA INPUT'!$B$3:$B$3000,'Report Tables'!AB$1,'DATA INPUT'!$A$3:$A$3000,"&gt;="&amp;DATE(2017,8,1),'DATA INPUT'!$A$3:$A$3000,"&lt;"&amp;DATE(2017,8,31),'DATA INPUT'!$F$3:$F$3000,"&lt;&gt;*Exclude*")=0,#N/A,(SUMIFS('DATA INPUT'!$E$3:$E$3000,'DATA INPUT'!$B$3:$B$3000,'Report Tables'!AB$1,'DATA INPUT'!$A$3:$A$3000,"&gt;="&amp;DATE(2017,8,1),'DATA INPUT'!$A$3:$A$3000,"&lt;"&amp;DATE(2017,8,31),'DATA INPUT'!$F$3:$F$3000,"&lt;&gt;*Exclude*"))))</f>
        <v>#N/A</v>
      </c>
      <c r="AC10" s="136" t="e">
        <f>IF($L$2="Yes",IF(SUMIFS('DATA INPUT'!$E$3:$E$3000,'DATA INPUT'!$B$3:$B$3000,'Report Tables'!AC$1,'DATA INPUT'!$A$3:$A$3000,"&gt;="&amp;DATE(2017,8,1),'DATA INPUT'!$A$3:$A$3000,"&lt;"&amp;DATE(2017,8,31))=0,#N/A,(SUMIFS('DATA INPUT'!$E$3:$E$3000,'DATA INPUT'!$B$3:$B$3000,'Report Tables'!AC$1,'DATA INPUT'!$A$3:$A$3000,"&gt;="&amp;DATE(2017,8,1),'DATA INPUT'!$A$3:$A$3000,"&lt;"&amp;DATE(2017,8,31)))),IF(SUMIFS('DATA INPUT'!$E$3:$E$3000,'DATA INPUT'!$B$3:$B$3000,'Report Tables'!AC$1,'DATA INPUT'!$A$3:$A$3000,"&gt;="&amp;DATE(2017,8,1),'DATA INPUT'!$A$3:$A$3000,"&lt;"&amp;DATE(2017,8,31),'DATA INPUT'!$F$3:$F$3000,"&lt;&gt;*Exclude*")=0,#N/A,(SUMIFS('DATA INPUT'!$E$3:$E$3000,'DATA INPUT'!$B$3:$B$3000,'Report Tables'!AC$1,'DATA INPUT'!$A$3:$A$3000,"&gt;="&amp;DATE(2017,8,1),'DATA INPUT'!$A$3:$A$3000,"&lt;"&amp;DATE(2017,8,31),'DATA INPUT'!$F$3:$F$3000,"&lt;&gt;*Exclude*"))))</f>
        <v>#N/A</v>
      </c>
      <c r="AD10" s="136" t="e">
        <f>IF($L$2="Yes",IF(SUMIFS('DATA INPUT'!$E$3:$E$3000,'DATA INPUT'!$B$3:$B$3000,'Report Tables'!AD$1,'DATA INPUT'!$A$3:$A$3000,"&gt;="&amp;DATE(2017,8,1),'DATA INPUT'!$A$3:$A$3000,"&lt;"&amp;DATE(2017,8,31))=0,#N/A,(SUMIFS('DATA INPUT'!$E$3:$E$3000,'DATA INPUT'!$B$3:$B$3000,'Report Tables'!AD$1,'DATA INPUT'!$A$3:$A$3000,"&gt;="&amp;DATE(2017,8,1),'DATA INPUT'!$A$3:$A$3000,"&lt;"&amp;DATE(2017,8,31)))),IF(SUMIFS('DATA INPUT'!$E$3:$E$3000,'DATA INPUT'!$B$3:$B$3000,'Report Tables'!AD$1,'DATA INPUT'!$A$3:$A$3000,"&gt;="&amp;DATE(2017,8,1),'DATA INPUT'!$A$3:$A$3000,"&lt;"&amp;DATE(2017,8,31),'DATA INPUT'!$F$3:$F$3000,"&lt;&gt;*Exclude*")=0,#N/A,(SUMIFS('DATA INPUT'!$E$3:$E$3000,'DATA INPUT'!$B$3:$B$3000,'Report Tables'!AD$1,'DATA INPUT'!$A$3:$A$3000,"&gt;="&amp;DATE(2017,8,1),'DATA INPUT'!$A$3:$A$3000,"&lt;"&amp;DATE(2017,8,31),'DATA INPUT'!$F$3:$F$3000,"&lt;&gt;*Exclude*"))))</f>
        <v>#N/A</v>
      </c>
      <c r="AE10" s="136" t="e">
        <f>IF($L$2="Yes",IF(SUMIFS('DATA INPUT'!$E$3:$E$3000,'DATA INPUT'!$B$3:$B$3000,'Report Tables'!AE$1,'DATA INPUT'!$A$3:$A$3000,"&gt;="&amp;DATE(2017,8,1),'DATA INPUT'!$A$3:$A$3000,"&lt;"&amp;DATE(2017,8,31))=0,#N/A,(SUMIFS('DATA INPUT'!$E$3:$E$3000,'DATA INPUT'!$B$3:$B$3000,'Report Tables'!AE$1,'DATA INPUT'!$A$3:$A$3000,"&gt;="&amp;DATE(2017,8,1),'DATA INPUT'!$A$3:$A$3000,"&lt;"&amp;DATE(2017,8,31)))),IF(SUMIFS('DATA INPUT'!$E$3:$E$3000,'DATA INPUT'!$B$3:$B$3000,'Report Tables'!AE$1,'DATA INPUT'!$A$3:$A$3000,"&gt;="&amp;DATE(2017,8,1),'DATA INPUT'!$A$3:$A$3000,"&lt;"&amp;DATE(2017,8,31),'DATA INPUT'!$F$3:$F$3000,"&lt;&gt;*Exclude*")=0,#N/A,(SUMIFS('DATA INPUT'!$E$3:$E$3000,'DATA INPUT'!$B$3:$B$3000,'Report Tables'!AE$1,'DATA INPUT'!$A$3:$A$3000,"&gt;="&amp;DATE(2017,8,1),'DATA INPUT'!$A$3:$A$3000,"&lt;"&amp;DATE(2017,8,31),'DATA INPUT'!$F$3:$F$3000,"&lt;&gt;*Exclude*"))))</f>
        <v>#N/A</v>
      </c>
      <c r="AF10" s="136" t="e">
        <f>IF($L$2="Yes",IF(SUMIFS('DATA INPUT'!$E$3:$E$3000,'DATA INPUT'!$B$3:$B$3000,'Report Tables'!AF$1,'DATA INPUT'!$A$3:$A$3000,"&gt;="&amp;DATE(2017,8,1),'DATA INPUT'!$A$3:$A$3000,"&lt;"&amp;DATE(2017,8,31))=0,#N/A,(SUMIFS('DATA INPUT'!$E$3:$E$3000,'DATA INPUT'!$B$3:$B$3000,'Report Tables'!AF$1,'DATA INPUT'!$A$3:$A$3000,"&gt;="&amp;DATE(2017,8,1),'DATA INPUT'!$A$3:$A$3000,"&lt;"&amp;DATE(2017,8,31)))),IF(SUMIFS('DATA INPUT'!$E$3:$E$3000,'DATA INPUT'!$B$3:$B$3000,'Report Tables'!AF$1,'DATA INPUT'!$A$3:$A$3000,"&gt;="&amp;DATE(2017,8,1),'DATA INPUT'!$A$3:$A$3000,"&lt;"&amp;DATE(2017,8,31),'DATA INPUT'!$F$3:$F$3000,"&lt;&gt;*Exclude*")=0,#N/A,(SUMIFS('DATA INPUT'!$E$3:$E$3000,'DATA INPUT'!$B$3:$B$3000,'Report Tables'!AF$1,'DATA INPUT'!$A$3:$A$3000,"&gt;="&amp;DATE(2017,8,1),'DATA INPUT'!$A$3:$A$3000,"&lt;"&amp;DATE(2017,8,31),'DATA INPUT'!$F$3:$F$3000,"&lt;&gt;*Exclude*"))))</f>
        <v>#N/A</v>
      </c>
      <c r="AG10" s="136" t="e">
        <f>IF($L$2="Yes",IF(SUMIFS('DATA INPUT'!$E$3:$E$3000,'DATA INPUT'!$B$3:$B$3000,'Report Tables'!AG$1,'DATA INPUT'!$A$3:$A$3000,"&gt;="&amp;DATE(2017,8,1),'DATA INPUT'!$A$3:$A$3000,"&lt;"&amp;DATE(2017,8,31))=0,#N/A,(SUMIFS('DATA INPUT'!$E$3:$E$3000,'DATA INPUT'!$B$3:$B$3000,'Report Tables'!AG$1,'DATA INPUT'!$A$3:$A$3000,"&gt;="&amp;DATE(2017,8,1),'DATA INPUT'!$A$3:$A$3000,"&lt;"&amp;DATE(2017,8,31)))),IF(SUMIFS('DATA INPUT'!$E$3:$E$3000,'DATA INPUT'!$B$3:$B$3000,'Report Tables'!AG$1,'DATA INPUT'!$A$3:$A$3000,"&gt;="&amp;DATE(2017,8,1),'DATA INPUT'!$A$3:$A$3000,"&lt;"&amp;DATE(2017,8,31),'DATA INPUT'!$F$3:$F$3000,"&lt;&gt;*Exclude*")=0,#N/A,(SUMIFS('DATA INPUT'!$E$3:$E$3000,'DATA INPUT'!$B$3:$B$3000,'Report Tables'!AG$1,'DATA INPUT'!$A$3:$A$3000,"&gt;="&amp;DATE(2017,8,1),'DATA INPUT'!$A$3:$A$3000,"&lt;"&amp;DATE(2017,8,31),'DATA INPUT'!$F$3:$F$3000,"&lt;&gt;*Exclude*"))))</f>
        <v>#N/A</v>
      </c>
      <c r="AH10" s="136" t="e">
        <f>IF($L$2="Yes",IF(SUMIFS('DATA INPUT'!$E$3:$E$3000,'DATA INPUT'!$B$3:$B$3000,'Report Tables'!AH$1,'DATA INPUT'!$A$3:$A$3000,"&gt;="&amp;DATE(2017,8,1),'DATA INPUT'!$A$3:$A$3000,"&lt;"&amp;DATE(2017,8,31))=0,#N/A,(SUMIFS('DATA INPUT'!$E$3:$E$3000,'DATA INPUT'!$B$3:$B$3000,'Report Tables'!AH$1,'DATA INPUT'!$A$3:$A$3000,"&gt;="&amp;DATE(2017,8,1),'DATA INPUT'!$A$3:$A$3000,"&lt;"&amp;DATE(2017,8,31)))),IF(SUMIFS('DATA INPUT'!$E$3:$E$3000,'DATA INPUT'!$B$3:$B$3000,'Report Tables'!AH$1,'DATA INPUT'!$A$3:$A$3000,"&gt;="&amp;DATE(2017,8,1),'DATA INPUT'!$A$3:$A$3000,"&lt;"&amp;DATE(2017,8,31),'DATA INPUT'!$F$3:$F$3000,"&lt;&gt;*Exclude*")=0,#N/A,(SUMIFS('DATA INPUT'!$E$3:$E$3000,'DATA INPUT'!$B$3:$B$3000,'Report Tables'!AH$1,'DATA INPUT'!$A$3:$A$3000,"&gt;="&amp;DATE(2017,8,1),'DATA INPUT'!$A$3:$A$3000,"&lt;"&amp;DATE(2017,8,31),'DATA INPUT'!$F$3:$F$3000,"&lt;&gt;*Exclude*"))))</f>
        <v>#N/A</v>
      </c>
      <c r="AI10" s="136" t="e">
        <f t="shared" si="0"/>
        <v>#N/A</v>
      </c>
      <c r="AJ10" s="136" t="e">
        <f>IF($L$2="Yes",IF(SUMIFS('DATA INPUT'!$D$3:$D$3000,'DATA INPUT'!$A$3:$A$3000,"&gt;="&amp;DATE(2017,8,1),'DATA INPUT'!$A$3:$A$3000,"&lt;"&amp;DATE(2017,8,31),'DATA INPUT'!$G$3:$G$3000,"&lt;&gt;*School service*")=0,#N/A,(SUMIFS('DATA INPUT'!$D$3:$D$3000,'DATA INPUT'!$A$3:$A$3000,"&gt;="&amp;DATE(2017,8,1),'DATA INPUT'!$A$3:$A$3000,"&lt;"&amp;DATE(2017,8,31),'DATA INPUT'!$G$3:$G$3000,"&lt;&gt;*School service*"))),IF(SUMIFS('DATA INPUT'!$D$3:$D$3000,'DATA INPUT'!$A$3:$A$3000,"&gt;="&amp;DATE(2017,8,1),'DATA INPUT'!$A$3:$A$3000,"&lt;"&amp;DATE(2017,8,31),'DATA INPUT'!$F$3:$F$3000,"&lt;&gt;*Exclude*",'DATA INPUT'!$G$3:$G$3000,"&lt;&gt;*School service*")=0,#N/A,(SUMIFS('DATA INPUT'!$D$3:$D$3000,'DATA INPUT'!$A$3:$A$3000,"&gt;="&amp;DATE(2017,8,1),'DATA INPUT'!$A$3:$A$3000,"&lt;"&amp;DATE(2017,8,31),'DATA INPUT'!$F$3:$F$3000,"&lt;&gt;*Exclude*",'DATA INPUT'!$G$3:$G$3000,"&lt;&gt;*School service*"))))</f>
        <v>#N/A</v>
      </c>
      <c r="AK10" s="136" t="e">
        <f>AI10-AJ10</f>
        <v>#N/A</v>
      </c>
      <c r="AM10" s="117" t="e">
        <f>IF($L$2="Yes",IFERROR((SUMIFS('DATA INPUT'!$E$3:$E$3000,'DATA INPUT'!$B$3:$B$3000,'Report Tables'!AM$1,'DATA INPUT'!$A$3:$A$3000,"&gt;="&amp;DATE(2017,8,1),'DATA INPUT'!$A$3:$A$3000,"&lt;"&amp;DATE(2017,8,31)))/COUNTIFS('DATA INPUT'!$B$3:$B$3000,'Report Tables'!AM$1,'DATA INPUT'!$A$3:$A$3000,"&gt;="&amp;DATE(2017,8,1),'DATA INPUT'!$A$3:$A$3000,"&lt;"&amp;DATE(2017,8,31)),#N/A),IFERROR((SUMIFS('DATA INPUT'!$E$3:$E$3000,'DATA INPUT'!$B$3:$B$3000,'Report Tables'!AM$1,'DATA INPUT'!$A$3:$A$3000,"&gt;="&amp;DATE(2017,8,1),'DATA INPUT'!$A$3:$A$3000,"&lt;"&amp;DATE(2017,8,31),'DATA INPUT'!$F$3:$F$3000,"&lt;&gt;*Exclude*"))/(COUNTIFS('DATA INPUT'!$B$3:$B$3000,'Report Tables'!AM$1,'DATA INPUT'!$A$3:$A$3000,"&gt;="&amp;DATE(2017,8,1),'DATA INPUT'!$A$3:$A$3000,"&lt;"&amp;DATE(2017,8,31),'DATA INPUT'!$F$3:$F$3000,"&lt;&gt;*Exclude*")),#N/A))</f>
        <v>#N/A</v>
      </c>
      <c r="AN10" s="117" t="e">
        <f>IF($L$2="Yes",IFERROR((SUMIFS('DATA INPUT'!$E$3:$E$3000,'DATA INPUT'!$B$3:$B$3000,'Report Tables'!AN$1,'DATA INPUT'!$A$3:$A$3000,"&gt;="&amp;DATE(2017,8,1),'DATA INPUT'!$A$3:$A$3000,"&lt;"&amp;DATE(2017,8,31)))/COUNTIFS('DATA INPUT'!$B$3:$B$3000,'Report Tables'!AN$1,'DATA INPUT'!$A$3:$A$3000,"&gt;="&amp;DATE(2017,8,1),'DATA INPUT'!$A$3:$A$3000,"&lt;"&amp;DATE(2017,8,31)),#N/A),IFERROR((SUMIFS('DATA INPUT'!$E$3:$E$3000,'DATA INPUT'!$B$3:$B$3000,'Report Tables'!AN$1,'DATA INPUT'!$A$3:$A$3000,"&gt;="&amp;DATE(2017,8,1),'DATA INPUT'!$A$3:$A$3000,"&lt;"&amp;DATE(2017,8,31),'DATA INPUT'!$F$3:$F$3000,"&lt;&gt;*Exclude*"))/(COUNTIFS('DATA INPUT'!$B$3:$B$3000,'Report Tables'!AN$1,'DATA INPUT'!$A$3:$A$3000,"&gt;="&amp;DATE(2017,8,1),'DATA INPUT'!$A$3:$A$3000,"&lt;"&amp;DATE(2017,8,31),'DATA INPUT'!$F$3:$F$3000,"&lt;&gt;*Exclude*")),#N/A))</f>
        <v>#N/A</v>
      </c>
      <c r="AO10" s="117" t="e">
        <f>IF($L$2="Yes",IFERROR((SUMIFS('DATA INPUT'!$E$3:$E$3000,'DATA INPUT'!$B$3:$B$3000,'Report Tables'!AO$1,'DATA INPUT'!$A$3:$A$3000,"&gt;="&amp;DATE(2017,8,1),'DATA INPUT'!$A$3:$A$3000,"&lt;"&amp;DATE(2017,8,31)))/COUNTIFS('DATA INPUT'!$B$3:$B$3000,'Report Tables'!AO$1,'DATA INPUT'!$A$3:$A$3000,"&gt;="&amp;DATE(2017,8,1),'DATA INPUT'!$A$3:$A$3000,"&lt;"&amp;DATE(2017,8,31)),#N/A),IFERROR((SUMIFS('DATA INPUT'!$E$3:$E$3000,'DATA INPUT'!$B$3:$B$3000,'Report Tables'!AO$1,'DATA INPUT'!$A$3:$A$3000,"&gt;="&amp;DATE(2017,8,1),'DATA INPUT'!$A$3:$A$3000,"&lt;"&amp;DATE(2017,8,31),'DATA INPUT'!$F$3:$F$3000,"&lt;&gt;*Exclude*"))/(COUNTIFS('DATA INPUT'!$B$3:$B$3000,'Report Tables'!AO$1,'DATA INPUT'!$A$3:$A$3000,"&gt;="&amp;DATE(2017,8,1),'DATA INPUT'!$A$3:$A$3000,"&lt;"&amp;DATE(2017,8,31),'DATA INPUT'!$F$3:$F$3000,"&lt;&gt;*Exclude*")),#N/A))</f>
        <v>#N/A</v>
      </c>
      <c r="AP10" s="117" t="e">
        <f>IF($L$2="Yes",IFERROR((SUMIFS('DATA INPUT'!$E$3:$E$3000,'DATA INPUT'!$B$3:$B$3000,'Report Tables'!AP$1,'DATA INPUT'!$A$3:$A$3000,"&gt;="&amp;DATE(2017,8,1),'DATA INPUT'!$A$3:$A$3000,"&lt;"&amp;DATE(2017,8,31)))/COUNTIFS('DATA INPUT'!$B$3:$B$3000,'Report Tables'!AP$1,'DATA INPUT'!$A$3:$A$3000,"&gt;="&amp;DATE(2017,8,1),'DATA INPUT'!$A$3:$A$3000,"&lt;"&amp;DATE(2017,8,31)),#N/A),IFERROR((SUMIFS('DATA INPUT'!$E$3:$E$3000,'DATA INPUT'!$B$3:$B$3000,'Report Tables'!AP$1,'DATA INPUT'!$A$3:$A$3000,"&gt;="&amp;DATE(2017,8,1),'DATA INPUT'!$A$3:$A$3000,"&lt;"&amp;DATE(2017,8,31),'DATA INPUT'!$F$3:$F$3000,"&lt;&gt;*Exclude*"))/(COUNTIFS('DATA INPUT'!$B$3:$B$3000,'Report Tables'!AP$1,'DATA INPUT'!$A$3:$A$3000,"&gt;="&amp;DATE(2017,8,1),'DATA INPUT'!$A$3:$A$3000,"&lt;"&amp;DATE(2017,8,31),'DATA INPUT'!$F$3:$F$3000,"&lt;&gt;*Exclude*")),#N/A))</f>
        <v>#N/A</v>
      </c>
      <c r="AQ10" s="117" t="e">
        <f>IF($L$2="Yes",IFERROR((SUMIFS('DATA INPUT'!$E$3:$E$3000,'DATA INPUT'!$B$3:$B$3000,'Report Tables'!AQ$1,'DATA INPUT'!$A$3:$A$3000,"&gt;="&amp;DATE(2017,8,1),'DATA INPUT'!$A$3:$A$3000,"&lt;"&amp;DATE(2017,8,31)))/COUNTIFS('DATA INPUT'!$B$3:$B$3000,'Report Tables'!AQ$1,'DATA INPUT'!$A$3:$A$3000,"&gt;="&amp;DATE(2017,8,1),'DATA INPUT'!$A$3:$A$3000,"&lt;"&amp;DATE(2017,8,31)),#N/A),IFERROR((SUMIFS('DATA INPUT'!$E$3:$E$3000,'DATA INPUT'!$B$3:$B$3000,'Report Tables'!AQ$1,'DATA INPUT'!$A$3:$A$3000,"&gt;="&amp;DATE(2017,8,1),'DATA INPUT'!$A$3:$A$3000,"&lt;"&amp;DATE(2017,8,31),'DATA INPUT'!$F$3:$F$3000,"&lt;&gt;*Exclude*"))/(COUNTIFS('DATA INPUT'!$B$3:$B$3000,'Report Tables'!AQ$1,'DATA INPUT'!$A$3:$A$3000,"&gt;="&amp;DATE(2017,8,1),'DATA INPUT'!$A$3:$A$3000,"&lt;"&amp;DATE(2017,8,31),'DATA INPUT'!$F$3:$F$3000,"&lt;&gt;*Exclude*")),#N/A))</f>
        <v>#N/A</v>
      </c>
      <c r="AR10" s="117" t="e">
        <f>IF($L$2="Yes",IFERROR((SUMIFS('DATA INPUT'!$E$3:$E$3000,'DATA INPUT'!$B$3:$B$3000,'Report Tables'!AR$1,'DATA INPUT'!$A$3:$A$3000,"&gt;="&amp;DATE(2017,8,1),'DATA INPUT'!$A$3:$A$3000,"&lt;"&amp;DATE(2017,8,31)))/COUNTIFS('DATA INPUT'!$B$3:$B$3000,'Report Tables'!AR$1,'DATA INPUT'!$A$3:$A$3000,"&gt;="&amp;DATE(2017,8,1),'DATA INPUT'!$A$3:$A$3000,"&lt;"&amp;DATE(2017,8,31)),#N/A),IFERROR((SUMIFS('DATA INPUT'!$E$3:$E$3000,'DATA INPUT'!$B$3:$B$3000,'Report Tables'!AR$1,'DATA INPUT'!$A$3:$A$3000,"&gt;="&amp;DATE(2017,8,1),'DATA INPUT'!$A$3:$A$3000,"&lt;"&amp;DATE(2017,8,31),'DATA INPUT'!$F$3:$F$3000,"&lt;&gt;*Exclude*"))/(COUNTIFS('DATA INPUT'!$B$3:$B$3000,'Report Tables'!AR$1,'DATA INPUT'!$A$3:$A$3000,"&gt;="&amp;DATE(2017,8,1),'DATA INPUT'!$A$3:$A$3000,"&lt;"&amp;DATE(2017,8,31),'DATA INPUT'!$F$3:$F$3000,"&lt;&gt;*Exclude*")),#N/A))</f>
        <v>#N/A</v>
      </c>
      <c r="AS10" s="117" t="e">
        <f>IF($L$2="Yes",IFERROR((SUMIFS('DATA INPUT'!$E$3:$E$3000,'DATA INPUT'!$B$3:$B$3000,'Report Tables'!AS$1,'DATA INPUT'!$A$3:$A$3000,"&gt;="&amp;DATE(2017,8,1),'DATA INPUT'!$A$3:$A$3000,"&lt;"&amp;DATE(2017,8,31)))/COUNTIFS('DATA INPUT'!$B$3:$B$3000,'Report Tables'!AS$1,'DATA INPUT'!$A$3:$A$3000,"&gt;="&amp;DATE(2017,8,1),'DATA INPUT'!$A$3:$A$3000,"&lt;"&amp;DATE(2017,8,31)),#N/A),IFERROR((SUMIFS('DATA INPUT'!$E$3:$E$3000,'DATA INPUT'!$B$3:$B$3000,'Report Tables'!AS$1,'DATA INPUT'!$A$3:$A$3000,"&gt;="&amp;DATE(2017,8,1),'DATA INPUT'!$A$3:$A$3000,"&lt;"&amp;DATE(2017,8,31),'DATA INPUT'!$F$3:$F$3000,"&lt;&gt;*Exclude*"))/(COUNTIFS('DATA INPUT'!$B$3:$B$3000,'Report Tables'!AS$1,'DATA INPUT'!$A$3:$A$3000,"&gt;="&amp;DATE(2017,8,1),'DATA INPUT'!$A$3:$A$3000,"&lt;"&amp;DATE(2017,8,31),'DATA INPUT'!$F$3:$F$3000,"&lt;&gt;*Exclude*")),#N/A))</f>
        <v>#N/A</v>
      </c>
      <c r="AT10" s="117" t="e">
        <f>IF($L$2="Yes",IFERROR((SUMIFS('DATA INPUT'!$E$3:$E$3000,'DATA INPUT'!$B$3:$B$3000,'Report Tables'!AT$1,'DATA INPUT'!$A$3:$A$3000,"&gt;="&amp;DATE(2017,8,1),'DATA INPUT'!$A$3:$A$3000,"&lt;"&amp;DATE(2017,8,31)))/COUNTIFS('DATA INPUT'!$B$3:$B$3000,'Report Tables'!AT$1,'DATA INPUT'!$A$3:$A$3000,"&gt;="&amp;DATE(2017,8,1),'DATA INPUT'!$A$3:$A$3000,"&lt;"&amp;DATE(2017,8,31)),#N/A),IFERROR((SUMIFS('DATA INPUT'!$E$3:$E$3000,'DATA INPUT'!$B$3:$B$3000,'Report Tables'!AT$1,'DATA INPUT'!$A$3:$A$3000,"&gt;="&amp;DATE(2017,8,1),'DATA INPUT'!$A$3:$A$3000,"&lt;"&amp;DATE(2017,8,31),'DATA INPUT'!$F$3:$F$3000,"&lt;&gt;*Exclude*"))/(COUNTIFS('DATA INPUT'!$B$3:$B$3000,'Report Tables'!AT$1,'DATA INPUT'!$A$3:$A$3000,"&gt;="&amp;DATE(2017,8,1),'DATA INPUT'!$A$3:$A$3000,"&lt;"&amp;DATE(2017,8,31),'DATA INPUT'!$F$3:$F$3000,"&lt;&gt;*Exclude*")),#N/A))</f>
        <v>#N/A</v>
      </c>
      <c r="AU10" s="117" t="e">
        <f t="shared" si="1"/>
        <v>#N/A</v>
      </c>
      <c r="AV10" s="117" t="e">
        <f>IF($L$2="Yes",IFERROR((SUMIFS('DATA INPUT'!$D$3:$D$3000,'DATA INPUT'!$A$3:$A$3000,"&gt;="&amp;DATE(2017,8,1),'DATA INPUT'!$A$3:$A$3000,"&lt;"&amp;DATE(2017,8,31),'DATA INPUT'!$G$3:$G$3000,"&lt;&gt;*School service*"))/COUNTIFS('DATA INPUT'!$A$3:$A$3000,"&gt;="&amp;DATE(2017,8,1),'DATA INPUT'!$A$3:$A$3000,"&lt;"&amp;DATE(2017,8,31),'DATA INPUT'!$G$3:$G$3000,"&lt;&gt;*School service*",'DATA INPUT'!$D$3:$D$3000,"&lt;&gt;"&amp;""),#N/A),IFERROR((SUMIFS('DATA INPUT'!$D$3:$D$3000,'DATA INPUT'!$A$3:$A$3000,"&gt;="&amp;DATE(2017,8,1),'DATA INPUT'!$A$3:$A$3000,"&lt;"&amp;DATE(2017,8,31),'DATA INPUT'!$F$3:$F$3000,"&lt;&gt;*Exclude*",'DATA INPUT'!$G$3:$G$3000,"&lt;&gt;*School service*"))/(COUNTIFS('DATA INPUT'!$A$3:$A$3000,"&gt;="&amp;DATE(2017,8,1),'DATA INPUT'!$A$3:$A$3000,"&lt;"&amp;DATE(2017,8,31),'DATA INPUT'!$F$3:$F$3000,"&lt;&gt;*Exclude*",'DATA INPUT'!$G$3:$G$3000,"&lt;&gt;*School service*",'DATA INPUT'!$D$3:$D$3000,"&lt;&gt;"&amp;"")),#N/A))</f>
        <v>#N/A</v>
      </c>
      <c r="AW10" s="117" t="e">
        <f t="shared" si="2"/>
        <v>#N/A</v>
      </c>
      <c r="AX10" s="117" t="e">
        <f>IF($L$2="Yes",IFERROR((SUMIFS('DATA INPUT'!$E$3:$E$3000,'DATA INPUT'!$B$3:$B$3000,'Report Tables'!AX$1,'DATA INPUT'!$A$3:$A$3000,"&gt;="&amp;DATE(2017,8,1),'DATA INPUT'!$A$3:$A$3000,"&lt;"&amp;DATE(2017,8,31)))/COUNTIFS('DATA INPUT'!$B$3:$B$3000,'Report Tables'!AX$1,'DATA INPUT'!$A$3:$A$3000,"&gt;="&amp;DATE(2017,8,1),'DATA INPUT'!$A$3:$A$3000,"&lt;"&amp;DATE(2017,8,31)),#N/A),IFERROR((SUMIFS('DATA INPUT'!$E$3:$E$3000,'DATA INPUT'!$B$3:$B$3000,'Report Tables'!AX$1,'DATA INPUT'!$A$3:$A$3000,"&gt;="&amp;DATE(2017,8,1),'DATA INPUT'!$A$3:$A$3000,"&lt;"&amp;DATE(2017,8,31),'DATA INPUT'!$F$3:$F$3000,"&lt;&gt;*Exclude*"))/(COUNTIFS('DATA INPUT'!$B$3:$B$3000,'Report Tables'!AX$1,'DATA INPUT'!$A$3:$A$3000,"&gt;="&amp;DATE(2017,8,1),'DATA INPUT'!$A$3:$A$3000,"&lt;"&amp;DATE(2017,8,31),'DATA INPUT'!$F$3:$F$3000,"&lt;&gt;*Exclude*")),#N/A))</f>
        <v>#N/A</v>
      </c>
      <c r="AY10" s="117" t="e">
        <f>IF($L$2="Yes",IFERROR((SUMIFS('DATA INPUT'!$D$3:$D$3000,'DATA INPUT'!$B$3:$B$3000,'Report Tables'!AX$1,'DATA INPUT'!$A$3:$A$3000,"&gt;="&amp;DATE(2017,8,1),'DATA INPUT'!$A$3:$A$3000,"&lt;"&amp;DATE(2017,8,31)))/COUNTIFS('DATA INPUT'!$B$3:$B$3000,'Report Tables'!AX$1,'DATA INPUT'!$A$3:$A$3000,"&gt;="&amp;DATE(2017,8,1),'DATA INPUT'!$A$3:$A$3000,"&lt;"&amp;DATE(2017,8,31)),#N/A),IFERROR((SUMIFS('DATA INPUT'!$D$3:$D$3000,'DATA INPUT'!$B$3:$B$3000,'Report Tables'!AX$1,'DATA INPUT'!$A$3:$A$3000,"&gt;="&amp;DATE(2017,8,1),'DATA INPUT'!$A$3:$A$3000,"&lt;"&amp;DATE(2017,8,31),'DATA INPUT'!$F$3:$F$3000,"&lt;&gt;*Exclude*"))/(COUNTIFS('DATA INPUT'!$B$3:$B$3000,'Report Tables'!AX$1,'DATA INPUT'!$A$3:$A$3000,"&gt;="&amp;DATE(2017,8,1),'DATA INPUT'!$A$3:$A$3000,"&lt;"&amp;DATE(2017,8,31),'DATA INPUT'!$F$3:$F$3000,"&lt;&gt;*Exclude*")),#N/A))</f>
        <v>#N/A</v>
      </c>
      <c r="AZ10" s="117" t="e">
        <f>IF($L$2="Yes",IFERROR((SUMIFS('DATA INPUT'!$C$3:$C$3000,'DATA INPUT'!$B$3:$B$3000,'Report Tables'!AX$1,'DATA INPUT'!$A$3:$A$3000,"&gt;="&amp;DATE(2017,8,1),'DATA INPUT'!$A$3:$A$3000,"&lt;"&amp;DATE(2017,8,31)))/COUNTIFS('DATA INPUT'!$B$3:$B$3000,'Report Tables'!AX$1,'DATA INPUT'!$A$3:$A$3000,"&gt;="&amp;DATE(2017,8,1),'DATA INPUT'!$A$3:$A$3000,"&lt;"&amp;DATE(2017,8,31)),#N/A),IFERROR((SUMIFS('DATA INPUT'!$C$3:$C$3000,'DATA INPUT'!$B$3:$B$3000,'Report Tables'!AX$1,'DATA INPUT'!$A$3:$A$3000,"&gt;="&amp;DATE(2017,8,1),'DATA INPUT'!$A$3:$A$3000,"&lt;"&amp;DATE(2017,8,31),'DATA INPUT'!$F$3:$F$3000,"&lt;&gt;*Exclude*"))/(COUNTIFS('DATA INPUT'!$B$3:$B$3000,'Report Tables'!AX$1,'DATA INPUT'!$A$3:$A$3000,"&gt;="&amp;DATE(2017,8,1),'DATA INPUT'!$A$3:$A$3000,"&lt;"&amp;DATE(2017,8,31),'DATA INPUT'!$F$3:$F$3000,"&lt;&gt;*Exclude*")),#N/A))</f>
        <v>#N/A</v>
      </c>
    </row>
    <row r="11" spans="1:52" x14ac:dyDescent="0.3">
      <c r="A11" s="95" t="e">
        <f>VLOOKUP(B11,Information!$C$8:$F$15,4,FALSE)</f>
        <v>#N/A</v>
      </c>
      <c r="B11" s="52">
        <f>Information!C14</f>
        <v>0</v>
      </c>
      <c r="C11" s="59">
        <f>IF($L$2="Yes",(COUNTIFS('DATA INPUT'!$A$3:$A$3000,"&gt;="&amp;DATE(2017,1,1),'DATA INPUT'!$A$3:$A$3000,"&lt;="&amp;DATE(2017,12,31),'DATA INPUT'!$B$3:$B$3000,$B11)),(COUNTIFS('DATA INPUT'!$A$3:$A$3000,"&gt;="&amp;DATE(2017,1,1),'DATA INPUT'!$A$3:$A$3000,"&lt;="&amp;DATE(2017,12,31),'DATA INPUT'!$B$3:$B$3000,$B11,'DATA INPUT'!$F$3:$F$3000,"&lt;&gt;*Exclude*")))</f>
        <v>0</v>
      </c>
      <c r="D11" s="59">
        <f>IF($L$2="Yes",(COUNTIFS('DATA INPUT'!$A$3:$A$3000,"&gt;="&amp;DATE(2018,1,1),'DATA INPUT'!$A$3:$A$3000,"&lt;="&amp;DATE(2018,12,31),'DATA INPUT'!$B$3:$B$3000,$B11)),(COUNTIFS('DATA INPUT'!$A$3:$A$3000,"&gt;="&amp;DATE(2018,1,1),'DATA INPUT'!$A$3:$A$3000,"&lt;="&amp;DATE(2018,12,31),'DATA INPUT'!$B$3:$B$3000,$B11,'DATA INPUT'!$F$3:$F$3000,"&lt;&gt;*Exclude*")))</f>
        <v>0</v>
      </c>
      <c r="E11" s="59">
        <f>IF($L$2="Yes",(COUNTIFS('DATA INPUT'!$A$3:$A$3000,"&gt;="&amp;DATE(2019,1,1),'DATA INPUT'!$A$3:$A$3000,"&lt;="&amp;DATE(2019,12,31),'DATA INPUT'!$B$3:$B$3000,$B11)),(COUNTIFS('DATA INPUT'!$A$3:$A$3000,"&gt;="&amp;DATE(2019,1,1),'DATA INPUT'!$A$3:$A$3000,"&lt;="&amp;DATE(2019,12,31),'DATA INPUT'!$B$3:$B$3000,$B11,'DATA INPUT'!$F$3:$F$3000,"&lt;&gt;*Exclude*")))</f>
        <v>0</v>
      </c>
      <c r="F11" s="59">
        <f>IF($L$2="Yes",(COUNTIFS('DATA INPUT'!$A$3:$A$3000,"&gt;="&amp;DATE(2020,1,1),'DATA INPUT'!$A$3:$A$3000,"&lt;="&amp;DATE(2020,12,31),'DATA INPUT'!$B$3:$B$3000,$B11)),(COUNTIFS('DATA INPUT'!$A$3:$A$3000,"&gt;="&amp;DATE(2020,1,1),'DATA INPUT'!$A$3:$A$3000,"&lt;="&amp;DATE(2020,12,31),'DATA INPUT'!$B$3:$B$3000,$B11,'DATA INPUT'!$F$3:$F$3000,"&lt;&gt;*Exclude*")))</f>
        <v>0</v>
      </c>
      <c r="G11" s="59">
        <f>IF($L$2="Yes",(COUNTIFS('DATA INPUT'!$A$3:$A$3000,"&gt;="&amp;DATE(2021,1,1),'DATA INPUT'!$A$3:$A$3000,"&lt;="&amp;DATE(2021,12,31),'DATA INPUT'!$B$3:$B$3000,$B11)),(COUNTIFS('DATA INPUT'!$A$3:$A$3000,"&gt;="&amp;DATE(2021,1,1),'DATA INPUT'!$A$3:$A$3000,"&lt;="&amp;DATE(2021,12,31),'DATA INPUT'!$B$3:$B$3000,$B11,'DATA INPUT'!$F$3:$F$3000,"&lt;&gt;*Exclude*")))</f>
        <v>0</v>
      </c>
      <c r="H11" s="59">
        <f>IF($L$2="Yes",(COUNTIFS('DATA INPUT'!$A$3:$A$3000,"&gt;="&amp;DATE(2022,1,1),'DATA INPUT'!$A$3:$A$3000,"&lt;="&amp;DATE(2022,12,31),'DATA INPUT'!$B$3:$B$3000,$B11)),(COUNTIFS('DATA INPUT'!$A$3:$A$3000,"&gt;="&amp;DATE(2022,1,1),'DATA INPUT'!$A$3:$A$3000,"&lt;="&amp;DATE(2022,12,31),'DATA INPUT'!$B$3:$B$3000,$B11,'DATA INPUT'!$F$3:$F$3000,"&lt;&gt;*Exclude*")))</f>
        <v>0</v>
      </c>
      <c r="I11" s="59">
        <f>IF($L$2="Yes",(COUNTIFS('DATA INPUT'!$A$3:$A$3000,"&gt;="&amp;DATE(2023,1,1),'DATA INPUT'!$A$3:$A$3000,"&lt;="&amp;DATE(2023,12,31),'DATA INPUT'!$B$3:$B$3000,$B11)),(COUNTIFS('DATA INPUT'!$A$3:$A$3000,"&gt;="&amp;DATE(2023,1,1),'DATA INPUT'!$A$3:$A$3000,"&lt;="&amp;DATE(2023,12,31),'DATA INPUT'!$B$3:$B$3000,$B11,'DATA INPUT'!$F$3:$F$3000,"&lt;&gt;*Exclude*")))</f>
        <v>0</v>
      </c>
      <c r="J11" s="59">
        <f>IF($L$2="Yes",(COUNTIFS('DATA INPUT'!$A$3:$A$3000,"&gt;="&amp;DATE(2024,1,1),'DATA INPUT'!$A$3:$A$3000,"&lt;="&amp;DATE(2024,12,31),'DATA INPUT'!$B$3:$B$3000,$B11)),(COUNTIFS('DATA INPUT'!$A$3:$A$3000,"&gt;="&amp;DATE(2024,1,1),'DATA INPUT'!$A$3:$A$3000,"&lt;="&amp;DATE(2024,12,31),'DATA INPUT'!$B$3:$B$3000,$B11,'DATA INPUT'!$F$3:$F$3000,"&lt;&gt;*Exclude*")))</f>
        <v>0</v>
      </c>
      <c r="K11" s="59">
        <f>IF($L$2="Yes",(COUNTIFS('DATA INPUT'!$A$3:$A$3000,"&gt;="&amp;DATE(2025,1,1),'DATA INPUT'!$A$3:$A$3000,"&lt;="&amp;DATE(2025,12,31),'DATA INPUT'!$B$3:$B$3000,$B11)),(COUNTIFS('DATA INPUT'!$A$3:$A$3000,"&gt;="&amp;DATE(2025,1,1),'DATA INPUT'!$A$3:$A$3000,"&lt;="&amp;DATE(2025,12,31),'DATA INPUT'!$B$3:$B$3000,$B11,'DATA INPUT'!$F$3:$F$3000,"&lt;&gt;*Exclude*")))</f>
        <v>0</v>
      </c>
      <c r="L11" s="48">
        <f t="shared" si="3"/>
        <v>0</v>
      </c>
      <c r="M11" s="49" t="str">
        <f t="shared" si="4"/>
        <v/>
      </c>
      <c r="N11" s="110"/>
      <c r="O11" s="224"/>
      <c r="P11" s="225"/>
      <c r="Q11" s="225"/>
      <c r="R11" s="225"/>
      <c r="S11" s="229"/>
      <c r="T11" s="229"/>
      <c r="U11" s="229"/>
      <c r="V11" s="229"/>
      <c r="W11" s="229"/>
      <c r="X11" s="182"/>
      <c r="Y11" s="149"/>
      <c r="Z11" s="149" t="s">
        <v>20</v>
      </c>
      <c r="AA11" s="136" t="e">
        <f>IF($L$2="Yes",IF(SUMIFS('DATA INPUT'!$E$3:$E$3000,'DATA INPUT'!$B$3:$B$3000,'Report Tables'!AA$1,'DATA INPUT'!$A$3:$A$3000,"&gt;="&amp;DATE(2017,9,1),'DATA INPUT'!$A$3:$A$3000,"&lt;"&amp;DATE(2017,9,31))=0,#N/A,(SUMIFS('DATA INPUT'!$E$3:$E$3000,'DATA INPUT'!$B$3:$B$3000,'Report Tables'!AA$1,'DATA INPUT'!$A$3:$A$3000,"&gt;="&amp;DATE(2017,9,1),'DATA INPUT'!$A$3:$A$3000,"&lt;"&amp;DATE(2017,9,31)))),IF(SUMIFS('DATA INPUT'!$E$3:$E$3000,'DATA INPUT'!$B$3:$B$3000,'Report Tables'!AA$1,'DATA INPUT'!$A$3:$A$3000,"&gt;="&amp;DATE(2017,9,1),'DATA INPUT'!$A$3:$A$3000,"&lt;"&amp;DATE(2017,9,31),'DATA INPUT'!$F$3:$F$3000,"&lt;&gt;*Exclude*")=0,#N/A,(SUMIFS('DATA INPUT'!$E$3:$E$3000,'DATA INPUT'!$B$3:$B$3000,'Report Tables'!AA$1,'DATA INPUT'!$A$3:$A$3000,"&gt;="&amp;DATE(2017,9,1),'DATA INPUT'!$A$3:$A$3000,"&lt;"&amp;DATE(2017,9,31),'DATA INPUT'!$F$3:$F$3000,"&lt;&gt;*Exclude*"))))</f>
        <v>#N/A</v>
      </c>
      <c r="AB11" s="136" t="e">
        <f>IF($L$2="Yes",IF(SUMIFS('DATA INPUT'!$E$3:$E$3000,'DATA INPUT'!$B$3:$B$3000,'Report Tables'!AB$1,'DATA INPUT'!$A$3:$A$3000,"&gt;="&amp;DATE(2017,9,1),'DATA INPUT'!$A$3:$A$3000,"&lt;"&amp;DATE(2017,9,31))=0,#N/A,(SUMIFS('DATA INPUT'!$E$3:$E$3000,'DATA INPUT'!$B$3:$B$3000,'Report Tables'!AB$1,'DATA INPUT'!$A$3:$A$3000,"&gt;="&amp;DATE(2017,9,1),'DATA INPUT'!$A$3:$A$3000,"&lt;"&amp;DATE(2017,9,31)))),IF(SUMIFS('DATA INPUT'!$E$3:$E$3000,'DATA INPUT'!$B$3:$B$3000,'Report Tables'!AB$1,'DATA INPUT'!$A$3:$A$3000,"&gt;="&amp;DATE(2017,9,1),'DATA INPUT'!$A$3:$A$3000,"&lt;"&amp;DATE(2017,9,31),'DATA INPUT'!$F$3:$F$3000,"&lt;&gt;*Exclude*")=0,#N/A,(SUMIFS('DATA INPUT'!$E$3:$E$3000,'DATA INPUT'!$B$3:$B$3000,'Report Tables'!AB$1,'DATA INPUT'!$A$3:$A$3000,"&gt;="&amp;DATE(2017,9,1),'DATA INPUT'!$A$3:$A$3000,"&lt;"&amp;DATE(2017,9,31),'DATA INPUT'!$F$3:$F$3000,"&lt;&gt;*Exclude*"))))</f>
        <v>#N/A</v>
      </c>
      <c r="AC11" s="136" t="e">
        <f>IF($L$2="Yes",IF(SUMIFS('DATA INPUT'!$E$3:$E$3000,'DATA INPUT'!$B$3:$B$3000,'Report Tables'!AC$1,'DATA INPUT'!$A$3:$A$3000,"&gt;="&amp;DATE(2017,9,1),'DATA INPUT'!$A$3:$A$3000,"&lt;"&amp;DATE(2017,9,31))=0,#N/A,(SUMIFS('DATA INPUT'!$E$3:$E$3000,'DATA INPUT'!$B$3:$B$3000,'Report Tables'!AC$1,'DATA INPUT'!$A$3:$A$3000,"&gt;="&amp;DATE(2017,9,1),'DATA INPUT'!$A$3:$A$3000,"&lt;"&amp;DATE(2017,9,31)))),IF(SUMIFS('DATA INPUT'!$E$3:$E$3000,'DATA INPUT'!$B$3:$B$3000,'Report Tables'!AC$1,'DATA INPUT'!$A$3:$A$3000,"&gt;="&amp;DATE(2017,9,1),'DATA INPUT'!$A$3:$A$3000,"&lt;"&amp;DATE(2017,9,31),'DATA INPUT'!$F$3:$F$3000,"&lt;&gt;*Exclude*")=0,#N/A,(SUMIFS('DATA INPUT'!$E$3:$E$3000,'DATA INPUT'!$B$3:$B$3000,'Report Tables'!AC$1,'DATA INPUT'!$A$3:$A$3000,"&gt;="&amp;DATE(2017,9,1),'DATA INPUT'!$A$3:$A$3000,"&lt;"&amp;DATE(2017,9,31),'DATA INPUT'!$F$3:$F$3000,"&lt;&gt;*Exclude*"))))</f>
        <v>#N/A</v>
      </c>
      <c r="AD11" s="136" t="e">
        <f>IF($L$2="Yes",IF(SUMIFS('DATA INPUT'!$E$3:$E$3000,'DATA INPUT'!$B$3:$B$3000,'Report Tables'!AD$1,'DATA INPUT'!$A$3:$A$3000,"&gt;="&amp;DATE(2017,9,1),'DATA INPUT'!$A$3:$A$3000,"&lt;"&amp;DATE(2017,9,31))=0,#N/A,(SUMIFS('DATA INPUT'!$E$3:$E$3000,'DATA INPUT'!$B$3:$B$3000,'Report Tables'!AD$1,'DATA INPUT'!$A$3:$A$3000,"&gt;="&amp;DATE(2017,9,1),'DATA INPUT'!$A$3:$A$3000,"&lt;"&amp;DATE(2017,9,31)))),IF(SUMIFS('DATA INPUT'!$E$3:$E$3000,'DATA INPUT'!$B$3:$B$3000,'Report Tables'!AD$1,'DATA INPUT'!$A$3:$A$3000,"&gt;="&amp;DATE(2017,9,1),'DATA INPUT'!$A$3:$A$3000,"&lt;"&amp;DATE(2017,9,31),'DATA INPUT'!$F$3:$F$3000,"&lt;&gt;*Exclude*")=0,#N/A,(SUMIFS('DATA INPUT'!$E$3:$E$3000,'DATA INPUT'!$B$3:$B$3000,'Report Tables'!AD$1,'DATA INPUT'!$A$3:$A$3000,"&gt;="&amp;DATE(2017,9,1),'DATA INPUT'!$A$3:$A$3000,"&lt;"&amp;DATE(2017,9,31),'DATA INPUT'!$F$3:$F$3000,"&lt;&gt;*Exclude*"))))</f>
        <v>#N/A</v>
      </c>
      <c r="AE11" s="136" t="e">
        <f>IF($L$2="Yes",IF(SUMIFS('DATA INPUT'!$E$3:$E$3000,'DATA INPUT'!$B$3:$B$3000,'Report Tables'!AE$1,'DATA INPUT'!$A$3:$A$3000,"&gt;="&amp;DATE(2017,9,1),'DATA INPUT'!$A$3:$A$3000,"&lt;"&amp;DATE(2017,9,31))=0,#N/A,(SUMIFS('DATA INPUT'!$E$3:$E$3000,'DATA INPUT'!$B$3:$B$3000,'Report Tables'!AE$1,'DATA INPUT'!$A$3:$A$3000,"&gt;="&amp;DATE(2017,9,1),'DATA INPUT'!$A$3:$A$3000,"&lt;"&amp;DATE(2017,9,31)))),IF(SUMIFS('DATA INPUT'!$E$3:$E$3000,'DATA INPUT'!$B$3:$B$3000,'Report Tables'!AE$1,'DATA INPUT'!$A$3:$A$3000,"&gt;="&amp;DATE(2017,9,1),'DATA INPUT'!$A$3:$A$3000,"&lt;"&amp;DATE(2017,9,31),'DATA INPUT'!$F$3:$F$3000,"&lt;&gt;*Exclude*")=0,#N/A,(SUMIFS('DATA INPUT'!$E$3:$E$3000,'DATA INPUT'!$B$3:$B$3000,'Report Tables'!AE$1,'DATA INPUT'!$A$3:$A$3000,"&gt;="&amp;DATE(2017,9,1),'DATA INPUT'!$A$3:$A$3000,"&lt;"&amp;DATE(2017,9,31),'DATA INPUT'!$F$3:$F$3000,"&lt;&gt;*Exclude*"))))</f>
        <v>#N/A</v>
      </c>
      <c r="AF11" s="136" t="e">
        <f>IF($L$2="Yes",IF(SUMIFS('DATA INPUT'!$E$3:$E$3000,'DATA INPUT'!$B$3:$B$3000,'Report Tables'!AF$1,'DATA INPUT'!$A$3:$A$3000,"&gt;="&amp;DATE(2017,9,1),'DATA INPUT'!$A$3:$A$3000,"&lt;"&amp;DATE(2017,9,31))=0,#N/A,(SUMIFS('DATA INPUT'!$E$3:$E$3000,'DATA INPUT'!$B$3:$B$3000,'Report Tables'!AF$1,'DATA INPUT'!$A$3:$A$3000,"&gt;="&amp;DATE(2017,9,1),'DATA INPUT'!$A$3:$A$3000,"&lt;"&amp;DATE(2017,9,31)))),IF(SUMIFS('DATA INPUT'!$E$3:$E$3000,'DATA INPUT'!$B$3:$B$3000,'Report Tables'!AF$1,'DATA INPUT'!$A$3:$A$3000,"&gt;="&amp;DATE(2017,9,1),'DATA INPUT'!$A$3:$A$3000,"&lt;"&amp;DATE(2017,9,31),'DATA INPUT'!$F$3:$F$3000,"&lt;&gt;*Exclude*")=0,#N/A,(SUMIFS('DATA INPUT'!$E$3:$E$3000,'DATA INPUT'!$B$3:$B$3000,'Report Tables'!AF$1,'DATA INPUT'!$A$3:$A$3000,"&gt;="&amp;DATE(2017,9,1),'DATA INPUT'!$A$3:$A$3000,"&lt;"&amp;DATE(2017,9,31),'DATA INPUT'!$F$3:$F$3000,"&lt;&gt;*Exclude*"))))</f>
        <v>#N/A</v>
      </c>
      <c r="AG11" s="136" t="e">
        <f>IF($L$2="Yes",IF(SUMIFS('DATA INPUT'!$E$3:$E$3000,'DATA INPUT'!$B$3:$B$3000,'Report Tables'!AG$1,'DATA INPUT'!$A$3:$A$3000,"&gt;="&amp;DATE(2017,9,1),'DATA INPUT'!$A$3:$A$3000,"&lt;"&amp;DATE(2017,9,31))=0,#N/A,(SUMIFS('DATA INPUT'!$E$3:$E$3000,'DATA INPUT'!$B$3:$B$3000,'Report Tables'!AG$1,'DATA INPUT'!$A$3:$A$3000,"&gt;="&amp;DATE(2017,9,1),'DATA INPUT'!$A$3:$A$3000,"&lt;"&amp;DATE(2017,9,31)))),IF(SUMIFS('DATA INPUT'!$E$3:$E$3000,'DATA INPUT'!$B$3:$B$3000,'Report Tables'!AG$1,'DATA INPUT'!$A$3:$A$3000,"&gt;="&amp;DATE(2017,9,1),'DATA INPUT'!$A$3:$A$3000,"&lt;"&amp;DATE(2017,9,31),'DATA INPUT'!$F$3:$F$3000,"&lt;&gt;*Exclude*")=0,#N/A,(SUMIFS('DATA INPUT'!$E$3:$E$3000,'DATA INPUT'!$B$3:$B$3000,'Report Tables'!AG$1,'DATA INPUT'!$A$3:$A$3000,"&gt;="&amp;DATE(2017,9,1),'DATA INPUT'!$A$3:$A$3000,"&lt;"&amp;DATE(2017,9,31),'DATA INPUT'!$F$3:$F$3000,"&lt;&gt;*Exclude*"))))</f>
        <v>#N/A</v>
      </c>
      <c r="AH11" s="136" t="e">
        <f>IF($L$2="Yes",IF(SUMIFS('DATA INPUT'!$E$3:$E$3000,'DATA INPUT'!$B$3:$B$3000,'Report Tables'!AH$1,'DATA INPUT'!$A$3:$A$3000,"&gt;="&amp;DATE(2017,9,1),'DATA INPUT'!$A$3:$A$3000,"&lt;"&amp;DATE(2017,9,31))=0,#N/A,(SUMIFS('DATA INPUT'!$E$3:$E$3000,'DATA INPUT'!$B$3:$B$3000,'Report Tables'!AH$1,'DATA INPUT'!$A$3:$A$3000,"&gt;="&amp;DATE(2017,9,1),'DATA INPUT'!$A$3:$A$3000,"&lt;"&amp;DATE(2017,9,31)))),IF(SUMIFS('DATA INPUT'!$E$3:$E$3000,'DATA INPUT'!$B$3:$B$3000,'Report Tables'!AH$1,'DATA INPUT'!$A$3:$A$3000,"&gt;="&amp;DATE(2017,9,1),'DATA INPUT'!$A$3:$A$3000,"&lt;"&amp;DATE(2017,9,31),'DATA INPUT'!$F$3:$F$3000,"&lt;&gt;*Exclude*")=0,#N/A,(SUMIFS('DATA INPUT'!$E$3:$E$3000,'DATA INPUT'!$B$3:$B$3000,'Report Tables'!AH$1,'DATA INPUT'!$A$3:$A$3000,"&gt;="&amp;DATE(2017,9,1),'DATA INPUT'!$A$3:$A$3000,"&lt;"&amp;DATE(2017,9,31),'DATA INPUT'!$F$3:$F$3000,"&lt;&gt;*Exclude*"))))</f>
        <v>#N/A</v>
      </c>
      <c r="AI11" s="136" t="e">
        <f t="shared" si="0"/>
        <v>#N/A</v>
      </c>
      <c r="AJ11" s="136" t="e">
        <f>IF($L$2="Yes",IF(SUMIFS('DATA INPUT'!$D$3:$D$3000,'DATA INPUT'!$A$3:$A$3000,"&gt;="&amp;DATE(2017,9,1),'DATA INPUT'!$A$3:$A$3000,"&lt;"&amp;DATE(2017,9,31),'DATA INPUT'!$G$3:$G$3000,"&lt;&gt;*School service*")=0,#N/A,(SUMIFS('DATA INPUT'!$D$3:$D$3000,'DATA INPUT'!$A$3:$A$3000,"&gt;="&amp;DATE(2017,9,1),'DATA INPUT'!$A$3:$A$3000,"&lt;"&amp;DATE(2017,9,31),'DATA INPUT'!$G$3:$G$3000,"&lt;&gt;*School service*"))),IF(SUMIFS('DATA INPUT'!$D$3:$D$3000,'DATA INPUT'!$A$3:$A$3000,"&gt;="&amp;DATE(2017,9,1),'DATA INPUT'!$A$3:$A$3000,"&lt;"&amp;DATE(2017,9,31),'DATA INPUT'!$F$3:$F$3000,"&lt;&gt;*Exclude*",'DATA INPUT'!$G$3:$G$3000,"&lt;&gt;*School service*")=0,#N/A,(SUMIFS('DATA INPUT'!$D$3:$D$3000,'DATA INPUT'!$A$3:$A$3000,"&gt;="&amp;DATE(2017,9,1),'DATA INPUT'!$A$3:$A$3000,"&lt;"&amp;DATE(2017,9,31),'DATA INPUT'!$F$3:$F$3000,"&lt;&gt;*Exclude*",'DATA INPUT'!$G$3:$G$3000,"&lt;&gt;*School service*"))))</f>
        <v>#N/A</v>
      </c>
      <c r="AK11" s="136" t="e">
        <f>AI11-AJ11</f>
        <v>#N/A</v>
      </c>
      <c r="AM11" s="117" t="e">
        <f>IF($L$2="Yes",IFERROR((SUMIFS('DATA INPUT'!$E$3:$E$3000,'DATA INPUT'!$B$3:$B$3000,'Report Tables'!AM$1,'DATA INPUT'!$A$3:$A$3000,"&gt;="&amp;DATE(2017,9,1),'DATA INPUT'!$A$3:$A$3000,"&lt;"&amp;DATE(2017,9,31)))/COUNTIFS('DATA INPUT'!$B$3:$B$3000,'Report Tables'!AM$1,'DATA INPUT'!$A$3:$A$3000,"&gt;="&amp;DATE(2017,9,1),'DATA INPUT'!$A$3:$A$3000,"&lt;"&amp;DATE(2017,9,31)),#N/A),IFERROR((SUMIFS('DATA INPUT'!$E$3:$E$3000,'DATA INPUT'!$B$3:$B$3000,'Report Tables'!AM$1,'DATA INPUT'!$A$3:$A$3000,"&gt;="&amp;DATE(2017,9,1),'DATA INPUT'!$A$3:$A$3000,"&lt;"&amp;DATE(2017,9,31),'DATA INPUT'!$F$3:$F$3000,"&lt;&gt;*Exclude*"))/(COUNTIFS('DATA INPUT'!$B$3:$B$3000,'Report Tables'!AM$1,'DATA INPUT'!$A$3:$A$3000,"&gt;="&amp;DATE(2017,9,1),'DATA INPUT'!$A$3:$A$3000,"&lt;"&amp;DATE(2017,9,31),'DATA INPUT'!$F$3:$F$3000,"&lt;&gt;*Exclude*")),#N/A))</f>
        <v>#N/A</v>
      </c>
      <c r="AN11" s="117" t="e">
        <f>IF($L$2="Yes",IFERROR((SUMIFS('DATA INPUT'!$E$3:$E$3000,'DATA INPUT'!$B$3:$B$3000,'Report Tables'!AN$1,'DATA INPUT'!$A$3:$A$3000,"&gt;="&amp;DATE(2017,9,1),'DATA INPUT'!$A$3:$A$3000,"&lt;"&amp;DATE(2017,9,31)))/COUNTIFS('DATA INPUT'!$B$3:$B$3000,'Report Tables'!AN$1,'DATA INPUT'!$A$3:$A$3000,"&gt;="&amp;DATE(2017,9,1),'DATA INPUT'!$A$3:$A$3000,"&lt;"&amp;DATE(2017,9,31)),#N/A),IFERROR((SUMIFS('DATA INPUT'!$E$3:$E$3000,'DATA INPUT'!$B$3:$B$3000,'Report Tables'!AN$1,'DATA INPUT'!$A$3:$A$3000,"&gt;="&amp;DATE(2017,9,1),'DATA INPUT'!$A$3:$A$3000,"&lt;"&amp;DATE(2017,9,31),'DATA INPUT'!$F$3:$F$3000,"&lt;&gt;*Exclude*"))/(COUNTIFS('DATA INPUT'!$B$3:$B$3000,'Report Tables'!AN$1,'DATA INPUT'!$A$3:$A$3000,"&gt;="&amp;DATE(2017,9,1),'DATA INPUT'!$A$3:$A$3000,"&lt;"&amp;DATE(2017,9,31),'DATA INPUT'!$F$3:$F$3000,"&lt;&gt;*Exclude*")),#N/A))</f>
        <v>#N/A</v>
      </c>
      <c r="AO11" s="117" t="e">
        <f>IF($L$2="Yes",IFERROR((SUMIFS('DATA INPUT'!$E$3:$E$3000,'DATA INPUT'!$B$3:$B$3000,'Report Tables'!AO$1,'DATA INPUT'!$A$3:$A$3000,"&gt;="&amp;DATE(2017,9,1),'DATA INPUT'!$A$3:$A$3000,"&lt;"&amp;DATE(2017,9,31)))/COUNTIFS('DATA INPUT'!$B$3:$B$3000,'Report Tables'!AO$1,'DATA INPUT'!$A$3:$A$3000,"&gt;="&amp;DATE(2017,9,1),'DATA INPUT'!$A$3:$A$3000,"&lt;"&amp;DATE(2017,9,31)),#N/A),IFERROR((SUMIFS('DATA INPUT'!$E$3:$E$3000,'DATA INPUT'!$B$3:$B$3000,'Report Tables'!AO$1,'DATA INPUT'!$A$3:$A$3000,"&gt;="&amp;DATE(2017,9,1),'DATA INPUT'!$A$3:$A$3000,"&lt;"&amp;DATE(2017,9,31),'DATA INPUT'!$F$3:$F$3000,"&lt;&gt;*Exclude*"))/(COUNTIFS('DATA INPUT'!$B$3:$B$3000,'Report Tables'!AO$1,'DATA INPUT'!$A$3:$A$3000,"&gt;="&amp;DATE(2017,9,1),'DATA INPUT'!$A$3:$A$3000,"&lt;"&amp;DATE(2017,9,31),'DATA INPUT'!$F$3:$F$3000,"&lt;&gt;*Exclude*")),#N/A))</f>
        <v>#N/A</v>
      </c>
      <c r="AP11" s="117" t="e">
        <f>IF($L$2="Yes",IFERROR((SUMIFS('DATA INPUT'!$E$3:$E$3000,'DATA INPUT'!$B$3:$B$3000,'Report Tables'!AP$1,'DATA INPUT'!$A$3:$A$3000,"&gt;="&amp;DATE(2017,9,1),'DATA INPUT'!$A$3:$A$3000,"&lt;"&amp;DATE(2017,9,31)))/COUNTIFS('DATA INPUT'!$B$3:$B$3000,'Report Tables'!AP$1,'DATA INPUT'!$A$3:$A$3000,"&gt;="&amp;DATE(2017,9,1),'DATA INPUT'!$A$3:$A$3000,"&lt;"&amp;DATE(2017,9,31)),#N/A),IFERROR((SUMIFS('DATA INPUT'!$E$3:$E$3000,'DATA INPUT'!$B$3:$B$3000,'Report Tables'!AP$1,'DATA INPUT'!$A$3:$A$3000,"&gt;="&amp;DATE(2017,9,1),'DATA INPUT'!$A$3:$A$3000,"&lt;"&amp;DATE(2017,9,31),'DATA INPUT'!$F$3:$F$3000,"&lt;&gt;*Exclude*"))/(COUNTIFS('DATA INPUT'!$B$3:$B$3000,'Report Tables'!AP$1,'DATA INPUT'!$A$3:$A$3000,"&gt;="&amp;DATE(2017,9,1),'DATA INPUT'!$A$3:$A$3000,"&lt;"&amp;DATE(2017,9,31),'DATA INPUT'!$F$3:$F$3000,"&lt;&gt;*Exclude*")),#N/A))</f>
        <v>#N/A</v>
      </c>
      <c r="AQ11" s="117" t="e">
        <f>IF($L$2="Yes",IFERROR((SUMIFS('DATA INPUT'!$E$3:$E$3000,'DATA INPUT'!$B$3:$B$3000,'Report Tables'!AQ$1,'DATA INPUT'!$A$3:$A$3000,"&gt;="&amp;DATE(2017,9,1),'DATA INPUT'!$A$3:$A$3000,"&lt;"&amp;DATE(2017,9,31)))/COUNTIFS('DATA INPUT'!$B$3:$B$3000,'Report Tables'!AQ$1,'DATA INPUT'!$A$3:$A$3000,"&gt;="&amp;DATE(2017,9,1),'DATA INPUT'!$A$3:$A$3000,"&lt;"&amp;DATE(2017,9,31)),#N/A),IFERROR((SUMIFS('DATA INPUT'!$E$3:$E$3000,'DATA INPUT'!$B$3:$B$3000,'Report Tables'!AQ$1,'DATA INPUT'!$A$3:$A$3000,"&gt;="&amp;DATE(2017,9,1),'DATA INPUT'!$A$3:$A$3000,"&lt;"&amp;DATE(2017,9,31),'DATA INPUT'!$F$3:$F$3000,"&lt;&gt;*Exclude*"))/(COUNTIFS('DATA INPUT'!$B$3:$B$3000,'Report Tables'!AQ$1,'DATA INPUT'!$A$3:$A$3000,"&gt;="&amp;DATE(2017,9,1),'DATA INPUT'!$A$3:$A$3000,"&lt;"&amp;DATE(2017,9,31),'DATA INPUT'!$F$3:$F$3000,"&lt;&gt;*Exclude*")),#N/A))</f>
        <v>#N/A</v>
      </c>
      <c r="AR11" s="117" t="e">
        <f>IF($L$2="Yes",IFERROR((SUMIFS('DATA INPUT'!$E$3:$E$3000,'DATA INPUT'!$B$3:$B$3000,'Report Tables'!AR$1,'DATA INPUT'!$A$3:$A$3000,"&gt;="&amp;DATE(2017,9,1),'DATA INPUT'!$A$3:$A$3000,"&lt;"&amp;DATE(2017,9,31)))/COUNTIFS('DATA INPUT'!$B$3:$B$3000,'Report Tables'!AR$1,'DATA INPUT'!$A$3:$A$3000,"&gt;="&amp;DATE(2017,9,1),'DATA INPUT'!$A$3:$A$3000,"&lt;"&amp;DATE(2017,9,31)),#N/A),IFERROR((SUMIFS('DATA INPUT'!$E$3:$E$3000,'DATA INPUT'!$B$3:$B$3000,'Report Tables'!AR$1,'DATA INPUT'!$A$3:$A$3000,"&gt;="&amp;DATE(2017,9,1),'DATA INPUT'!$A$3:$A$3000,"&lt;"&amp;DATE(2017,9,31),'DATA INPUT'!$F$3:$F$3000,"&lt;&gt;*Exclude*"))/(COUNTIFS('DATA INPUT'!$B$3:$B$3000,'Report Tables'!AR$1,'DATA INPUT'!$A$3:$A$3000,"&gt;="&amp;DATE(2017,9,1),'DATA INPUT'!$A$3:$A$3000,"&lt;"&amp;DATE(2017,9,31),'DATA INPUT'!$F$3:$F$3000,"&lt;&gt;*Exclude*")),#N/A))</f>
        <v>#N/A</v>
      </c>
      <c r="AS11" s="117" t="e">
        <f>IF($L$2="Yes",IFERROR((SUMIFS('DATA INPUT'!$E$3:$E$3000,'DATA INPUT'!$B$3:$B$3000,'Report Tables'!AS$1,'DATA INPUT'!$A$3:$A$3000,"&gt;="&amp;DATE(2017,9,1),'DATA INPUT'!$A$3:$A$3000,"&lt;"&amp;DATE(2017,9,31)))/COUNTIFS('DATA INPUT'!$B$3:$B$3000,'Report Tables'!AS$1,'DATA INPUT'!$A$3:$A$3000,"&gt;="&amp;DATE(2017,9,1),'DATA INPUT'!$A$3:$A$3000,"&lt;"&amp;DATE(2017,9,31)),#N/A),IFERROR((SUMIFS('DATA INPUT'!$E$3:$E$3000,'DATA INPUT'!$B$3:$B$3000,'Report Tables'!AS$1,'DATA INPUT'!$A$3:$A$3000,"&gt;="&amp;DATE(2017,9,1),'DATA INPUT'!$A$3:$A$3000,"&lt;"&amp;DATE(2017,9,31),'DATA INPUT'!$F$3:$F$3000,"&lt;&gt;*Exclude*"))/(COUNTIFS('DATA INPUT'!$B$3:$B$3000,'Report Tables'!AS$1,'DATA INPUT'!$A$3:$A$3000,"&gt;="&amp;DATE(2017,9,1),'DATA INPUT'!$A$3:$A$3000,"&lt;"&amp;DATE(2017,9,31),'DATA INPUT'!$F$3:$F$3000,"&lt;&gt;*Exclude*")),#N/A))</f>
        <v>#N/A</v>
      </c>
      <c r="AT11" s="117" t="e">
        <f>IF($L$2="Yes",IFERROR((SUMIFS('DATA INPUT'!$E$3:$E$3000,'DATA INPUT'!$B$3:$B$3000,'Report Tables'!AT$1,'DATA INPUT'!$A$3:$A$3000,"&gt;="&amp;DATE(2017,9,1),'DATA INPUT'!$A$3:$A$3000,"&lt;"&amp;DATE(2017,9,31)))/COUNTIFS('DATA INPUT'!$B$3:$B$3000,'Report Tables'!AT$1,'DATA INPUT'!$A$3:$A$3000,"&gt;="&amp;DATE(2017,9,1),'DATA INPUT'!$A$3:$A$3000,"&lt;"&amp;DATE(2017,9,31)),#N/A),IFERROR((SUMIFS('DATA INPUT'!$E$3:$E$3000,'DATA INPUT'!$B$3:$B$3000,'Report Tables'!AT$1,'DATA INPUT'!$A$3:$A$3000,"&gt;="&amp;DATE(2017,9,1),'DATA INPUT'!$A$3:$A$3000,"&lt;"&amp;DATE(2017,9,31),'DATA INPUT'!$F$3:$F$3000,"&lt;&gt;*Exclude*"))/(COUNTIFS('DATA INPUT'!$B$3:$B$3000,'Report Tables'!AT$1,'DATA INPUT'!$A$3:$A$3000,"&gt;="&amp;DATE(2017,9,1),'DATA INPUT'!$A$3:$A$3000,"&lt;"&amp;DATE(2017,9,31),'DATA INPUT'!$F$3:$F$3000,"&lt;&gt;*Exclude*")),#N/A))</f>
        <v>#N/A</v>
      </c>
      <c r="AU11" s="117" t="e">
        <f t="shared" si="1"/>
        <v>#N/A</v>
      </c>
      <c r="AV11" s="117" t="e">
        <f>IF($L$2="Yes",IFERROR((SUMIFS('DATA INPUT'!$D$3:$D$3000,'DATA INPUT'!$A$3:$A$3000,"&gt;="&amp;DATE(2017,9,1),'DATA INPUT'!$A$3:$A$3000,"&lt;"&amp;DATE(2017,9,31),'DATA INPUT'!$G$3:$G$3000,"&lt;&gt;*School service*"))/COUNTIFS('DATA INPUT'!$A$3:$A$3000,"&gt;="&amp;DATE(2017,9,1),'DATA INPUT'!$A$3:$A$3000,"&lt;"&amp;DATE(2017,9,31),'DATA INPUT'!$G$3:$G$3000,"&lt;&gt;*School service*",'DATA INPUT'!$D$3:$D$3000,"&lt;&gt;"&amp;""),#N/A),IFERROR((SUMIFS('DATA INPUT'!$D$3:$D$3000,'DATA INPUT'!$A$3:$A$3000,"&gt;="&amp;DATE(2017,9,1),'DATA INPUT'!$A$3:$A$3000,"&lt;"&amp;DATE(2017,9,31),'DATA INPUT'!$F$3:$F$3000,"&lt;&gt;*Exclude*",'DATA INPUT'!$G$3:$G$3000,"&lt;&gt;*School service*"))/(COUNTIFS('DATA INPUT'!$A$3:$A$3000,"&gt;="&amp;DATE(2017,9,1),'DATA INPUT'!$A$3:$A$3000,"&lt;"&amp;DATE(2017,9,31),'DATA INPUT'!$F$3:$F$3000,"&lt;&gt;*Exclude*",'DATA INPUT'!$G$3:$G$3000,"&lt;&gt;*School service*",'DATA INPUT'!$D$3:$D$3000,"&lt;&gt;"&amp;"")),#N/A))</f>
        <v>#N/A</v>
      </c>
      <c r="AW11" s="117" t="e">
        <f t="shared" si="2"/>
        <v>#N/A</v>
      </c>
      <c r="AX11" s="117" t="e">
        <f>IF($L$2="Yes",IFERROR((SUMIFS('DATA INPUT'!$E$3:$E$3000,'DATA INPUT'!$B$3:$B$3000,'Report Tables'!AX$1,'DATA INPUT'!$A$3:$A$3000,"&gt;="&amp;DATE(2017,9,1),'DATA INPUT'!$A$3:$A$3000,"&lt;"&amp;DATE(2017,9,31)))/COUNTIFS('DATA INPUT'!$B$3:$B$3000,'Report Tables'!AX$1,'DATA INPUT'!$A$3:$A$3000,"&gt;="&amp;DATE(2017,9,1),'DATA INPUT'!$A$3:$A$3000,"&lt;"&amp;DATE(2017,9,31)),#N/A),IFERROR((SUMIFS('DATA INPUT'!$E$3:$E$3000,'DATA INPUT'!$B$3:$B$3000,'Report Tables'!AX$1,'DATA INPUT'!$A$3:$A$3000,"&gt;="&amp;DATE(2017,9,1),'DATA INPUT'!$A$3:$A$3000,"&lt;"&amp;DATE(2017,9,31),'DATA INPUT'!$F$3:$F$3000,"&lt;&gt;*Exclude*"))/(COUNTIFS('DATA INPUT'!$B$3:$B$3000,'Report Tables'!AX$1,'DATA INPUT'!$A$3:$A$3000,"&gt;="&amp;DATE(2017,9,1),'DATA INPUT'!$A$3:$A$3000,"&lt;"&amp;DATE(2017,9,31),'DATA INPUT'!$F$3:$F$3000,"&lt;&gt;*Exclude*")),#N/A))</f>
        <v>#N/A</v>
      </c>
      <c r="AY11" s="117" t="e">
        <f>IF($L$2="Yes",IFERROR((SUMIFS('DATA INPUT'!$D$3:$D$3000,'DATA INPUT'!$B$3:$B$3000,'Report Tables'!AX$1,'DATA INPUT'!$A$3:$A$3000,"&gt;="&amp;DATE(2017,9,1),'DATA INPUT'!$A$3:$A$3000,"&lt;"&amp;DATE(2017,9,31)))/COUNTIFS('DATA INPUT'!$B$3:$B$3000,'Report Tables'!AX$1,'DATA INPUT'!$A$3:$A$3000,"&gt;="&amp;DATE(2017,9,1),'DATA INPUT'!$A$3:$A$3000,"&lt;"&amp;DATE(2017,9,31)),#N/A),IFERROR((SUMIFS('DATA INPUT'!$D$3:$D$3000,'DATA INPUT'!$B$3:$B$3000,'Report Tables'!AX$1,'DATA INPUT'!$A$3:$A$3000,"&gt;="&amp;DATE(2017,9,1),'DATA INPUT'!$A$3:$A$3000,"&lt;"&amp;DATE(2017,9,31),'DATA INPUT'!$F$3:$F$3000,"&lt;&gt;*Exclude*"))/(COUNTIFS('DATA INPUT'!$B$3:$B$3000,'Report Tables'!AX$1,'DATA INPUT'!$A$3:$A$3000,"&gt;="&amp;DATE(2017,9,1),'DATA INPUT'!$A$3:$A$3000,"&lt;"&amp;DATE(2017,9,31),'DATA INPUT'!$F$3:$F$3000,"&lt;&gt;*Exclude*")),#N/A))</f>
        <v>#N/A</v>
      </c>
      <c r="AZ11" s="117" t="e">
        <f>IF($L$2="Yes",IFERROR((SUMIFS('DATA INPUT'!$C$3:$C$3000,'DATA INPUT'!$B$3:$B$3000,'Report Tables'!AX$1,'DATA INPUT'!$A$3:$A$3000,"&gt;="&amp;DATE(2017,9,1),'DATA INPUT'!$A$3:$A$3000,"&lt;"&amp;DATE(2017,9,31)))/COUNTIFS('DATA INPUT'!$B$3:$B$3000,'Report Tables'!AX$1,'DATA INPUT'!$A$3:$A$3000,"&gt;="&amp;DATE(2017,9,1),'DATA INPUT'!$A$3:$A$3000,"&lt;"&amp;DATE(2017,9,31)),#N/A),IFERROR((SUMIFS('DATA INPUT'!$C$3:$C$3000,'DATA INPUT'!$B$3:$B$3000,'Report Tables'!AX$1,'DATA INPUT'!$A$3:$A$3000,"&gt;="&amp;DATE(2017,9,1),'DATA INPUT'!$A$3:$A$3000,"&lt;"&amp;DATE(2017,9,31),'DATA INPUT'!$F$3:$F$3000,"&lt;&gt;*Exclude*"))/(COUNTIFS('DATA INPUT'!$B$3:$B$3000,'Report Tables'!AX$1,'DATA INPUT'!$A$3:$A$3000,"&gt;="&amp;DATE(2017,9,1),'DATA INPUT'!$A$3:$A$3000,"&lt;"&amp;DATE(2017,9,31),'DATA INPUT'!$F$3:$F$3000,"&lt;&gt;*Exclude*")),#N/A))</f>
        <v>#N/A</v>
      </c>
    </row>
    <row r="12" spans="1:52" ht="15" thickBot="1" x14ac:dyDescent="0.35">
      <c r="A12" s="95" t="e">
        <f>VLOOKUP(B12,Information!$C$8:$F$15,4,FALSE)</f>
        <v>#N/A</v>
      </c>
      <c r="B12" s="52">
        <f>Information!C15</f>
        <v>0</v>
      </c>
      <c r="C12" s="59">
        <f>IF($L$2="Yes",(COUNTIFS('DATA INPUT'!$A$3:$A$3000,"&gt;="&amp;DATE(2017,1,1),'DATA INPUT'!$A$3:$A$3000,"&lt;="&amp;DATE(2017,12,31),'DATA INPUT'!$B$3:$B$3000,$B12)),(COUNTIFS('DATA INPUT'!$A$3:$A$3000,"&gt;="&amp;DATE(2017,1,1),'DATA INPUT'!$A$3:$A$3000,"&lt;="&amp;DATE(2017,12,31),'DATA INPUT'!$B$3:$B$3000,$B12,'DATA INPUT'!$F$3:$F$3000,"&lt;&gt;*Exclude*")))</f>
        <v>0</v>
      </c>
      <c r="D12" s="59">
        <f>IF($L$2="Yes",(COUNTIFS('DATA INPUT'!$A$3:$A$3000,"&gt;="&amp;DATE(2018,1,1),'DATA INPUT'!$A$3:$A$3000,"&lt;="&amp;DATE(2018,12,31),'DATA INPUT'!$B$3:$B$3000,$B12)),(COUNTIFS('DATA INPUT'!$A$3:$A$3000,"&gt;="&amp;DATE(2018,1,1),'DATA INPUT'!$A$3:$A$3000,"&lt;="&amp;DATE(2018,12,31),'DATA INPUT'!$B$3:$B$3000,$B12,'DATA INPUT'!$F$3:$F$3000,"&lt;&gt;*Exclude*")))</f>
        <v>0</v>
      </c>
      <c r="E12" s="59">
        <f>IF($L$2="Yes",(COUNTIFS('DATA INPUT'!$A$3:$A$3000,"&gt;="&amp;DATE(2019,1,1),'DATA INPUT'!$A$3:$A$3000,"&lt;="&amp;DATE(2019,12,31),'DATA INPUT'!$B$3:$B$3000,$B12)),(COUNTIFS('DATA INPUT'!$A$3:$A$3000,"&gt;="&amp;DATE(2019,1,1),'DATA INPUT'!$A$3:$A$3000,"&lt;="&amp;DATE(2019,12,31),'DATA INPUT'!$B$3:$B$3000,$B12,'DATA INPUT'!$F$3:$F$3000,"&lt;&gt;*Exclude*")))</f>
        <v>0</v>
      </c>
      <c r="F12" s="59">
        <f>IF($L$2="Yes",(COUNTIFS('DATA INPUT'!$A$3:$A$3000,"&gt;="&amp;DATE(2020,1,1),'DATA INPUT'!$A$3:$A$3000,"&lt;="&amp;DATE(2020,12,31),'DATA INPUT'!$B$3:$B$3000,$B12)),(COUNTIFS('DATA INPUT'!$A$3:$A$3000,"&gt;="&amp;DATE(2020,1,1),'DATA INPUT'!$A$3:$A$3000,"&lt;="&amp;DATE(2020,12,31),'DATA INPUT'!$B$3:$B$3000,$B12,'DATA INPUT'!$F$3:$F$3000,"&lt;&gt;*Exclude*")))</f>
        <v>0</v>
      </c>
      <c r="G12" s="59">
        <f>IF($L$2="Yes",(COUNTIFS('DATA INPUT'!$A$3:$A$3000,"&gt;="&amp;DATE(2021,1,1),'DATA INPUT'!$A$3:$A$3000,"&lt;="&amp;DATE(2021,12,31),'DATA INPUT'!$B$3:$B$3000,$B12)),(COUNTIFS('DATA INPUT'!$A$3:$A$3000,"&gt;="&amp;DATE(2021,1,1),'DATA INPUT'!$A$3:$A$3000,"&lt;="&amp;DATE(2021,12,31),'DATA INPUT'!$B$3:$B$3000,$B12,'DATA INPUT'!$F$3:$F$3000,"&lt;&gt;*Exclude*")))</f>
        <v>0</v>
      </c>
      <c r="H12" s="59">
        <f>IF($L$2="Yes",(COUNTIFS('DATA INPUT'!$A$3:$A$3000,"&gt;="&amp;DATE(2022,1,1),'DATA INPUT'!$A$3:$A$3000,"&lt;="&amp;DATE(2022,12,31),'DATA INPUT'!$B$3:$B$3000,$B12)),(COUNTIFS('DATA INPUT'!$A$3:$A$3000,"&gt;="&amp;DATE(2022,1,1),'DATA INPUT'!$A$3:$A$3000,"&lt;="&amp;DATE(2022,12,31),'DATA INPUT'!$B$3:$B$3000,$B12,'DATA INPUT'!$F$3:$F$3000,"&lt;&gt;*Exclude*")))</f>
        <v>0</v>
      </c>
      <c r="I12" s="59">
        <f>IF($L$2="Yes",(COUNTIFS('DATA INPUT'!$A$3:$A$3000,"&gt;="&amp;DATE(2023,1,1),'DATA INPUT'!$A$3:$A$3000,"&lt;="&amp;DATE(2023,12,31),'DATA INPUT'!$B$3:$B$3000,$B12)),(COUNTIFS('DATA INPUT'!$A$3:$A$3000,"&gt;="&amp;DATE(2023,1,1),'DATA INPUT'!$A$3:$A$3000,"&lt;="&amp;DATE(2023,12,31),'DATA INPUT'!$B$3:$B$3000,$B12,'DATA INPUT'!$F$3:$F$3000,"&lt;&gt;*Exclude*")))</f>
        <v>0</v>
      </c>
      <c r="J12" s="59">
        <f>IF($L$2="Yes",(COUNTIFS('DATA INPUT'!$A$3:$A$3000,"&gt;="&amp;DATE(2024,1,1),'DATA INPUT'!$A$3:$A$3000,"&lt;="&amp;DATE(2024,12,31),'DATA INPUT'!$B$3:$B$3000,$B12)),(COUNTIFS('DATA INPUT'!$A$3:$A$3000,"&gt;="&amp;DATE(2024,1,1),'DATA INPUT'!$A$3:$A$3000,"&lt;="&amp;DATE(2024,12,31),'DATA INPUT'!$B$3:$B$3000,$B12,'DATA INPUT'!$F$3:$F$3000,"&lt;&gt;*Exclude*")))</f>
        <v>0</v>
      </c>
      <c r="K12" s="59">
        <f>IF($L$2="Yes",(COUNTIFS('DATA INPUT'!$A$3:$A$3000,"&gt;="&amp;DATE(2025,1,1),'DATA INPUT'!$A$3:$A$3000,"&lt;="&amp;DATE(2025,12,31),'DATA INPUT'!$B$3:$B$3000,$B12)),(COUNTIFS('DATA INPUT'!$A$3:$A$3000,"&gt;="&amp;DATE(2025,1,1),'DATA INPUT'!$A$3:$A$3000,"&lt;="&amp;DATE(2025,12,31),'DATA INPUT'!$B$3:$B$3000,$B12,'DATA INPUT'!$F$3:$F$3000,"&lt;&gt;*Exclude*")))</f>
        <v>0</v>
      </c>
      <c r="L12" s="48">
        <f t="shared" si="3"/>
        <v>0</v>
      </c>
      <c r="M12" s="60" t="str">
        <f t="shared" si="4"/>
        <v/>
      </c>
      <c r="N12" s="110"/>
      <c r="O12" s="224"/>
      <c r="P12" s="225"/>
      <c r="Q12" s="225"/>
      <c r="R12" s="225"/>
      <c r="S12" s="229"/>
      <c r="T12" s="229"/>
      <c r="U12" s="229"/>
      <c r="V12" s="229"/>
      <c r="W12" s="229"/>
      <c r="X12" s="182"/>
      <c r="Y12" s="149"/>
      <c r="Z12" s="149" t="s">
        <v>21</v>
      </c>
      <c r="AA12" s="136" t="e">
        <f>IF($L$2="Yes",IF(SUMIFS('DATA INPUT'!$E$3:$E$3000,'DATA INPUT'!$B$3:$B$3000,'Report Tables'!AA$1,'DATA INPUT'!$A$3:$A$3000,"&gt;="&amp;DATE(2017,10,1),'DATA INPUT'!$A$3:$A$3000,"&lt;"&amp;DATE(2017,10,31))=0,#N/A,(SUMIFS('DATA INPUT'!$E$3:$E$3000,'DATA INPUT'!$B$3:$B$3000,'Report Tables'!AA$1,'DATA INPUT'!$A$3:$A$3000,"&gt;="&amp;DATE(2017,10,1),'DATA INPUT'!$A$3:$A$3000,"&lt;"&amp;DATE(2017,10,31)))),IF(SUMIFS('DATA INPUT'!$E$3:$E$3000,'DATA INPUT'!$B$3:$B$3000,'Report Tables'!AA$1,'DATA INPUT'!$A$3:$A$3000,"&gt;="&amp;DATE(2017,10,1),'DATA INPUT'!$A$3:$A$3000,"&lt;"&amp;DATE(2017,10,31),'DATA INPUT'!$F$3:$F$3000,"&lt;&gt;*Exclude*")=0,#N/A,(SUMIFS('DATA INPUT'!$E$3:$E$3000,'DATA INPUT'!$B$3:$B$3000,'Report Tables'!AA$1,'DATA INPUT'!$A$3:$A$3000,"&gt;="&amp;DATE(2017,10,1),'DATA INPUT'!$A$3:$A$3000,"&lt;"&amp;DATE(2017,10,31),'DATA INPUT'!$F$3:$F$3000,"&lt;&gt;*Exclude*"))))</f>
        <v>#N/A</v>
      </c>
      <c r="AB12" s="136" t="e">
        <f>IF($L$2="Yes",IF(SUMIFS('DATA INPUT'!$E$3:$E$3000,'DATA INPUT'!$B$3:$B$3000,'Report Tables'!AB$1,'DATA INPUT'!$A$3:$A$3000,"&gt;="&amp;DATE(2017,10,1),'DATA INPUT'!$A$3:$A$3000,"&lt;"&amp;DATE(2017,10,31))=0,#N/A,(SUMIFS('DATA INPUT'!$E$3:$E$3000,'DATA INPUT'!$B$3:$B$3000,'Report Tables'!AB$1,'DATA INPUT'!$A$3:$A$3000,"&gt;="&amp;DATE(2017,10,1),'DATA INPUT'!$A$3:$A$3000,"&lt;"&amp;DATE(2017,10,31)))),IF(SUMIFS('DATA INPUT'!$E$3:$E$3000,'DATA INPUT'!$B$3:$B$3000,'Report Tables'!AB$1,'DATA INPUT'!$A$3:$A$3000,"&gt;="&amp;DATE(2017,10,1),'DATA INPUT'!$A$3:$A$3000,"&lt;"&amp;DATE(2017,10,31),'DATA INPUT'!$F$3:$F$3000,"&lt;&gt;*Exclude*")=0,#N/A,(SUMIFS('DATA INPUT'!$E$3:$E$3000,'DATA INPUT'!$B$3:$B$3000,'Report Tables'!AB$1,'DATA INPUT'!$A$3:$A$3000,"&gt;="&amp;DATE(2017,10,1),'DATA INPUT'!$A$3:$A$3000,"&lt;"&amp;DATE(2017,10,31),'DATA INPUT'!$F$3:$F$3000,"&lt;&gt;*Exclude*"))))</f>
        <v>#N/A</v>
      </c>
      <c r="AC12" s="136" t="e">
        <f>IF($L$2="Yes",IF(SUMIFS('DATA INPUT'!$E$3:$E$3000,'DATA INPUT'!$B$3:$B$3000,'Report Tables'!AC$1,'DATA INPUT'!$A$3:$A$3000,"&gt;="&amp;DATE(2017,10,1),'DATA INPUT'!$A$3:$A$3000,"&lt;"&amp;DATE(2017,10,31))=0,#N/A,(SUMIFS('DATA INPUT'!$E$3:$E$3000,'DATA INPUT'!$B$3:$B$3000,'Report Tables'!AC$1,'DATA INPUT'!$A$3:$A$3000,"&gt;="&amp;DATE(2017,10,1),'DATA INPUT'!$A$3:$A$3000,"&lt;"&amp;DATE(2017,10,31)))),IF(SUMIFS('DATA INPUT'!$E$3:$E$3000,'DATA INPUT'!$B$3:$B$3000,'Report Tables'!AC$1,'DATA INPUT'!$A$3:$A$3000,"&gt;="&amp;DATE(2017,10,1),'DATA INPUT'!$A$3:$A$3000,"&lt;"&amp;DATE(2017,10,31),'DATA INPUT'!$F$3:$F$3000,"&lt;&gt;*Exclude*")=0,#N/A,(SUMIFS('DATA INPUT'!$E$3:$E$3000,'DATA INPUT'!$B$3:$B$3000,'Report Tables'!AC$1,'DATA INPUT'!$A$3:$A$3000,"&gt;="&amp;DATE(2017,10,1),'DATA INPUT'!$A$3:$A$3000,"&lt;"&amp;DATE(2017,10,31),'DATA INPUT'!$F$3:$F$3000,"&lt;&gt;*Exclude*"))))</f>
        <v>#N/A</v>
      </c>
      <c r="AD12" s="136" t="e">
        <f>IF($L$2="Yes",IF(SUMIFS('DATA INPUT'!$E$3:$E$3000,'DATA INPUT'!$B$3:$B$3000,'Report Tables'!AD$1,'DATA INPUT'!$A$3:$A$3000,"&gt;="&amp;DATE(2017,10,1),'DATA INPUT'!$A$3:$A$3000,"&lt;"&amp;DATE(2017,10,31))=0,#N/A,(SUMIFS('DATA INPUT'!$E$3:$E$3000,'DATA INPUT'!$B$3:$B$3000,'Report Tables'!AD$1,'DATA INPUT'!$A$3:$A$3000,"&gt;="&amp;DATE(2017,10,1),'DATA INPUT'!$A$3:$A$3000,"&lt;"&amp;DATE(2017,10,31)))),IF(SUMIFS('DATA INPUT'!$E$3:$E$3000,'DATA INPUT'!$B$3:$B$3000,'Report Tables'!AD$1,'DATA INPUT'!$A$3:$A$3000,"&gt;="&amp;DATE(2017,10,1),'DATA INPUT'!$A$3:$A$3000,"&lt;"&amp;DATE(2017,10,31),'DATA INPUT'!$F$3:$F$3000,"&lt;&gt;*Exclude*")=0,#N/A,(SUMIFS('DATA INPUT'!$E$3:$E$3000,'DATA INPUT'!$B$3:$B$3000,'Report Tables'!AD$1,'DATA INPUT'!$A$3:$A$3000,"&gt;="&amp;DATE(2017,10,1),'DATA INPUT'!$A$3:$A$3000,"&lt;"&amp;DATE(2017,10,31),'DATA INPUT'!$F$3:$F$3000,"&lt;&gt;*Exclude*"))))</f>
        <v>#N/A</v>
      </c>
      <c r="AE12" s="136" t="e">
        <f>IF($L$2="Yes",IF(SUMIFS('DATA INPUT'!$E$3:$E$3000,'DATA INPUT'!$B$3:$B$3000,'Report Tables'!AE$1,'DATA INPUT'!$A$3:$A$3000,"&gt;="&amp;DATE(2017,10,1),'DATA INPUT'!$A$3:$A$3000,"&lt;"&amp;DATE(2017,10,31))=0,#N/A,(SUMIFS('DATA INPUT'!$E$3:$E$3000,'DATA INPUT'!$B$3:$B$3000,'Report Tables'!AE$1,'DATA INPUT'!$A$3:$A$3000,"&gt;="&amp;DATE(2017,10,1),'DATA INPUT'!$A$3:$A$3000,"&lt;"&amp;DATE(2017,10,31)))),IF(SUMIFS('DATA INPUT'!$E$3:$E$3000,'DATA INPUT'!$B$3:$B$3000,'Report Tables'!AE$1,'DATA INPUT'!$A$3:$A$3000,"&gt;="&amp;DATE(2017,10,1),'DATA INPUT'!$A$3:$A$3000,"&lt;"&amp;DATE(2017,10,31),'DATA INPUT'!$F$3:$F$3000,"&lt;&gt;*Exclude*")=0,#N/A,(SUMIFS('DATA INPUT'!$E$3:$E$3000,'DATA INPUT'!$B$3:$B$3000,'Report Tables'!AE$1,'DATA INPUT'!$A$3:$A$3000,"&gt;="&amp;DATE(2017,10,1),'DATA INPUT'!$A$3:$A$3000,"&lt;"&amp;DATE(2017,10,31),'DATA INPUT'!$F$3:$F$3000,"&lt;&gt;*Exclude*"))))</f>
        <v>#N/A</v>
      </c>
      <c r="AF12" s="136" t="e">
        <f>IF($L$2="Yes",IF(SUMIFS('DATA INPUT'!$E$3:$E$3000,'DATA INPUT'!$B$3:$B$3000,'Report Tables'!AF$1,'DATA INPUT'!$A$3:$A$3000,"&gt;="&amp;DATE(2017,10,1),'DATA INPUT'!$A$3:$A$3000,"&lt;"&amp;DATE(2017,10,31))=0,#N/A,(SUMIFS('DATA INPUT'!$E$3:$E$3000,'DATA INPUT'!$B$3:$B$3000,'Report Tables'!AF$1,'DATA INPUT'!$A$3:$A$3000,"&gt;="&amp;DATE(2017,10,1),'DATA INPUT'!$A$3:$A$3000,"&lt;"&amp;DATE(2017,10,31)))),IF(SUMIFS('DATA INPUT'!$E$3:$E$3000,'DATA INPUT'!$B$3:$B$3000,'Report Tables'!AF$1,'DATA INPUT'!$A$3:$A$3000,"&gt;="&amp;DATE(2017,10,1),'DATA INPUT'!$A$3:$A$3000,"&lt;"&amp;DATE(2017,10,31),'DATA INPUT'!$F$3:$F$3000,"&lt;&gt;*Exclude*")=0,#N/A,(SUMIFS('DATA INPUT'!$E$3:$E$3000,'DATA INPUT'!$B$3:$B$3000,'Report Tables'!AF$1,'DATA INPUT'!$A$3:$A$3000,"&gt;="&amp;DATE(2017,10,1),'DATA INPUT'!$A$3:$A$3000,"&lt;"&amp;DATE(2017,10,31),'DATA INPUT'!$F$3:$F$3000,"&lt;&gt;*Exclude*"))))</f>
        <v>#N/A</v>
      </c>
      <c r="AG12" s="136" t="e">
        <f>IF($L$2="Yes",IF(SUMIFS('DATA INPUT'!$E$3:$E$3000,'DATA INPUT'!$B$3:$B$3000,'Report Tables'!AG$1,'DATA INPUT'!$A$3:$A$3000,"&gt;="&amp;DATE(2017,10,1),'DATA INPUT'!$A$3:$A$3000,"&lt;"&amp;DATE(2017,10,31))=0,#N/A,(SUMIFS('DATA INPUT'!$E$3:$E$3000,'DATA INPUT'!$B$3:$B$3000,'Report Tables'!AG$1,'DATA INPUT'!$A$3:$A$3000,"&gt;="&amp;DATE(2017,10,1),'DATA INPUT'!$A$3:$A$3000,"&lt;"&amp;DATE(2017,10,31)))),IF(SUMIFS('DATA INPUT'!$E$3:$E$3000,'DATA INPUT'!$B$3:$B$3000,'Report Tables'!AG$1,'DATA INPUT'!$A$3:$A$3000,"&gt;="&amp;DATE(2017,10,1),'DATA INPUT'!$A$3:$A$3000,"&lt;"&amp;DATE(2017,10,31),'DATA INPUT'!$F$3:$F$3000,"&lt;&gt;*Exclude*")=0,#N/A,(SUMIFS('DATA INPUT'!$E$3:$E$3000,'DATA INPUT'!$B$3:$B$3000,'Report Tables'!AG$1,'DATA INPUT'!$A$3:$A$3000,"&gt;="&amp;DATE(2017,10,1),'DATA INPUT'!$A$3:$A$3000,"&lt;"&amp;DATE(2017,10,31),'DATA INPUT'!$F$3:$F$3000,"&lt;&gt;*Exclude*"))))</f>
        <v>#N/A</v>
      </c>
      <c r="AH12" s="136" t="e">
        <f>IF($L$2="Yes",IF(SUMIFS('DATA INPUT'!$E$3:$E$3000,'DATA INPUT'!$B$3:$B$3000,'Report Tables'!AH$1,'DATA INPUT'!$A$3:$A$3000,"&gt;="&amp;DATE(2017,10,1),'DATA INPUT'!$A$3:$A$3000,"&lt;"&amp;DATE(2017,10,31))=0,#N/A,(SUMIFS('DATA INPUT'!$E$3:$E$3000,'DATA INPUT'!$B$3:$B$3000,'Report Tables'!AH$1,'DATA INPUT'!$A$3:$A$3000,"&gt;="&amp;DATE(2017,10,1),'DATA INPUT'!$A$3:$A$3000,"&lt;"&amp;DATE(2017,10,31)))),IF(SUMIFS('DATA INPUT'!$E$3:$E$3000,'DATA INPUT'!$B$3:$B$3000,'Report Tables'!AH$1,'DATA INPUT'!$A$3:$A$3000,"&gt;="&amp;DATE(2017,10,1),'DATA INPUT'!$A$3:$A$3000,"&lt;"&amp;DATE(2017,10,31),'DATA INPUT'!$F$3:$F$3000,"&lt;&gt;*Exclude*")=0,#N/A,(SUMIFS('DATA INPUT'!$E$3:$E$3000,'DATA INPUT'!$B$3:$B$3000,'Report Tables'!AH$1,'DATA INPUT'!$A$3:$A$3000,"&gt;="&amp;DATE(2017,10,1),'DATA INPUT'!$A$3:$A$3000,"&lt;"&amp;DATE(2017,10,31),'DATA INPUT'!$F$3:$F$3000,"&lt;&gt;*Exclude*"))))</f>
        <v>#N/A</v>
      </c>
      <c r="AI12" s="136" t="e">
        <f t="shared" si="0"/>
        <v>#N/A</v>
      </c>
      <c r="AJ12" s="136" t="e">
        <f>IF($L$2="Yes",IF(SUMIFS('DATA INPUT'!$D$3:$D$3000,'DATA INPUT'!$A$3:$A$3000,"&gt;="&amp;DATE(2017,10,1),'DATA INPUT'!$A$3:$A$3000,"&lt;"&amp;DATE(2017,10,31),'DATA INPUT'!$G$3:$G$3000,"&lt;&gt;*School service*")=0,#N/A,(SUMIFS('DATA INPUT'!$D$3:$D$3000,'DATA INPUT'!$A$3:$A$3000,"&gt;="&amp;DATE(2017,10,1),'DATA INPUT'!$A$3:$A$3000,"&lt;"&amp;DATE(2017,10,31),'DATA INPUT'!$G$3:$G$3000,"&lt;&gt;*School service*"))),IF(SUMIFS('DATA INPUT'!$D$3:$D$3000,'DATA INPUT'!$A$3:$A$3000,"&gt;="&amp;DATE(2017,10,1),'DATA INPUT'!$A$3:$A$3000,"&lt;"&amp;DATE(2017,10,31),'DATA INPUT'!$F$3:$F$3000,"&lt;&gt;*Exclude*",'DATA INPUT'!$G$3:$G$3000,"&lt;&gt;*School service*")=0,#N/A,(SUMIFS('DATA INPUT'!$D$3:$D$3000,'DATA INPUT'!$A$3:$A$3000,"&gt;="&amp;DATE(2017,10,1),'DATA INPUT'!$A$3:$A$3000,"&lt;"&amp;DATE(2017,10,31),'DATA INPUT'!$F$3:$F$3000,"&lt;&gt;*Exclude*",'DATA INPUT'!$G$3:$G$3000,"&lt;&gt;*School service*"))))</f>
        <v>#N/A</v>
      </c>
      <c r="AK12" s="136" t="e">
        <f>AI12-AJ12</f>
        <v>#N/A</v>
      </c>
      <c r="AM12" s="117" t="e">
        <f>IF($L$2="Yes",IFERROR((SUMIFS('DATA INPUT'!$E$3:$E$3000,'DATA INPUT'!$B$3:$B$3000,'Report Tables'!AM$1,'DATA INPUT'!$A$3:$A$3000,"&gt;="&amp;DATE(2017,10,1),'DATA INPUT'!$A$3:$A$3000,"&lt;"&amp;DATE(2017,10,31)))/COUNTIFS('DATA INPUT'!$B$3:$B$3000,'Report Tables'!AM$1,'DATA INPUT'!$A$3:$A$3000,"&gt;="&amp;DATE(2017,10,1),'DATA INPUT'!$A$3:$A$3000,"&lt;"&amp;DATE(2017,10,31)),#N/A),IFERROR((SUMIFS('DATA INPUT'!$E$3:$E$3000,'DATA INPUT'!$B$3:$B$3000,'Report Tables'!AM$1,'DATA INPUT'!$A$3:$A$3000,"&gt;="&amp;DATE(2017,10,1),'DATA INPUT'!$A$3:$A$3000,"&lt;"&amp;DATE(2017,10,31),'DATA INPUT'!$F$3:$F$3000,"&lt;&gt;*Exclude*"))/(COUNTIFS('DATA INPUT'!$B$3:$B$3000,'Report Tables'!AM$1,'DATA INPUT'!$A$3:$A$3000,"&gt;="&amp;DATE(2017,10,1),'DATA INPUT'!$A$3:$A$3000,"&lt;"&amp;DATE(2017,10,31),'DATA INPUT'!$F$3:$F$3000,"&lt;&gt;*Exclude*")),#N/A))</f>
        <v>#N/A</v>
      </c>
      <c r="AN12" s="117" t="e">
        <f>IF($L$2="Yes",IFERROR((SUMIFS('DATA INPUT'!$E$3:$E$3000,'DATA INPUT'!$B$3:$B$3000,'Report Tables'!AN$1,'DATA INPUT'!$A$3:$A$3000,"&gt;="&amp;DATE(2017,10,1),'DATA INPUT'!$A$3:$A$3000,"&lt;"&amp;DATE(2017,10,31)))/COUNTIFS('DATA INPUT'!$B$3:$B$3000,'Report Tables'!AN$1,'DATA INPUT'!$A$3:$A$3000,"&gt;="&amp;DATE(2017,10,1),'DATA INPUT'!$A$3:$A$3000,"&lt;"&amp;DATE(2017,10,31)),#N/A),IFERROR((SUMIFS('DATA INPUT'!$E$3:$E$3000,'DATA INPUT'!$B$3:$B$3000,'Report Tables'!AN$1,'DATA INPUT'!$A$3:$A$3000,"&gt;="&amp;DATE(2017,10,1),'DATA INPUT'!$A$3:$A$3000,"&lt;"&amp;DATE(2017,10,31),'DATA INPUT'!$F$3:$F$3000,"&lt;&gt;*Exclude*"))/(COUNTIFS('DATA INPUT'!$B$3:$B$3000,'Report Tables'!AN$1,'DATA INPUT'!$A$3:$A$3000,"&gt;="&amp;DATE(2017,10,1),'DATA INPUT'!$A$3:$A$3000,"&lt;"&amp;DATE(2017,10,31),'DATA INPUT'!$F$3:$F$3000,"&lt;&gt;*Exclude*")),#N/A))</f>
        <v>#N/A</v>
      </c>
      <c r="AO12" s="117" t="e">
        <f>IF($L$2="Yes",IFERROR((SUMIFS('DATA INPUT'!$E$3:$E$3000,'DATA INPUT'!$B$3:$B$3000,'Report Tables'!AO$1,'DATA INPUT'!$A$3:$A$3000,"&gt;="&amp;DATE(2017,10,1),'DATA INPUT'!$A$3:$A$3000,"&lt;"&amp;DATE(2017,10,31)))/COUNTIFS('DATA INPUT'!$B$3:$B$3000,'Report Tables'!AO$1,'DATA INPUT'!$A$3:$A$3000,"&gt;="&amp;DATE(2017,10,1),'DATA INPUT'!$A$3:$A$3000,"&lt;"&amp;DATE(2017,10,31)),#N/A),IFERROR((SUMIFS('DATA INPUT'!$E$3:$E$3000,'DATA INPUT'!$B$3:$B$3000,'Report Tables'!AO$1,'DATA INPUT'!$A$3:$A$3000,"&gt;="&amp;DATE(2017,10,1),'DATA INPUT'!$A$3:$A$3000,"&lt;"&amp;DATE(2017,10,31),'DATA INPUT'!$F$3:$F$3000,"&lt;&gt;*Exclude*"))/(COUNTIFS('DATA INPUT'!$B$3:$B$3000,'Report Tables'!AO$1,'DATA INPUT'!$A$3:$A$3000,"&gt;="&amp;DATE(2017,10,1),'DATA INPUT'!$A$3:$A$3000,"&lt;"&amp;DATE(2017,10,31),'DATA INPUT'!$F$3:$F$3000,"&lt;&gt;*Exclude*")),#N/A))</f>
        <v>#N/A</v>
      </c>
      <c r="AP12" s="117" t="e">
        <f>IF($L$2="Yes",IFERROR((SUMIFS('DATA INPUT'!$E$3:$E$3000,'DATA INPUT'!$B$3:$B$3000,'Report Tables'!AP$1,'DATA INPUT'!$A$3:$A$3000,"&gt;="&amp;DATE(2017,10,1),'DATA INPUT'!$A$3:$A$3000,"&lt;"&amp;DATE(2017,10,31)))/COUNTIFS('DATA INPUT'!$B$3:$B$3000,'Report Tables'!AP$1,'DATA INPUT'!$A$3:$A$3000,"&gt;="&amp;DATE(2017,10,1),'DATA INPUT'!$A$3:$A$3000,"&lt;"&amp;DATE(2017,10,31)),#N/A),IFERROR((SUMIFS('DATA INPUT'!$E$3:$E$3000,'DATA INPUT'!$B$3:$B$3000,'Report Tables'!AP$1,'DATA INPUT'!$A$3:$A$3000,"&gt;="&amp;DATE(2017,10,1),'DATA INPUT'!$A$3:$A$3000,"&lt;"&amp;DATE(2017,10,31),'DATA INPUT'!$F$3:$F$3000,"&lt;&gt;*Exclude*"))/(COUNTIFS('DATA INPUT'!$B$3:$B$3000,'Report Tables'!AP$1,'DATA INPUT'!$A$3:$A$3000,"&gt;="&amp;DATE(2017,10,1),'DATA INPUT'!$A$3:$A$3000,"&lt;"&amp;DATE(2017,10,31),'DATA INPUT'!$F$3:$F$3000,"&lt;&gt;*Exclude*")),#N/A))</f>
        <v>#N/A</v>
      </c>
      <c r="AQ12" s="117" t="e">
        <f>IF($L$2="Yes",IFERROR((SUMIFS('DATA INPUT'!$E$3:$E$3000,'DATA INPUT'!$B$3:$B$3000,'Report Tables'!AQ$1,'DATA INPUT'!$A$3:$A$3000,"&gt;="&amp;DATE(2017,10,1),'DATA INPUT'!$A$3:$A$3000,"&lt;"&amp;DATE(2017,10,31)))/COUNTIFS('DATA INPUT'!$B$3:$B$3000,'Report Tables'!AQ$1,'DATA INPUT'!$A$3:$A$3000,"&gt;="&amp;DATE(2017,10,1),'DATA INPUT'!$A$3:$A$3000,"&lt;"&amp;DATE(2017,10,31)),#N/A),IFERROR((SUMIFS('DATA INPUT'!$E$3:$E$3000,'DATA INPUT'!$B$3:$B$3000,'Report Tables'!AQ$1,'DATA INPUT'!$A$3:$A$3000,"&gt;="&amp;DATE(2017,10,1),'DATA INPUT'!$A$3:$A$3000,"&lt;"&amp;DATE(2017,10,31),'DATA INPUT'!$F$3:$F$3000,"&lt;&gt;*Exclude*"))/(COUNTIFS('DATA INPUT'!$B$3:$B$3000,'Report Tables'!AQ$1,'DATA INPUT'!$A$3:$A$3000,"&gt;="&amp;DATE(2017,10,1),'DATA INPUT'!$A$3:$A$3000,"&lt;"&amp;DATE(2017,10,31),'DATA INPUT'!$F$3:$F$3000,"&lt;&gt;*Exclude*")),#N/A))</f>
        <v>#N/A</v>
      </c>
      <c r="AR12" s="117" t="e">
        <f>IF($L$2="Yes",IFERROR((SUMIFS('DATA INPUT'!$E$3:$E$3000,'DATA INPUT'!$B$3:$B$3000,'Report Tables'!AR$1,'DATA INPUT'!$A$3:$A$3000,"&gt;="&amp;DATE(2017,10,1),'DATA INPUT'!$A$3:$A$3000,"&lt;"&amp;DATE(2017,10,31)))/COUNTIFS('DATA INPUT'!$B$3:$B$3000,'Report Tables'!AR$1,'DATA INPUT'!$A$3:$A$3000,"&gt;="&amp;DATE(2017,10,1),'DATA INPUT'!$A$3:$A$3000,"&lt;"&amp;DATE(2017,10,31)),#N/A),IFERROR((SUMIFS('DATA INPUT'!$E$3:$E$3000,'DATA INPUT'!$B$3:$B$3000,'Report Tables'!AR$1,'DATA INPUT'!$A$3:$A$3000,"&gt;="&amp;DATE(2017,10,1),'DATA INPUT'!$A$3:$A$3000,"&lt;"&amp;DATE(2017,10,31),'DATA INPUT'!$F$3:$F$3000,"&lt;&gt;*Exclude*"))/(COUNTIFS('DATA INPUT'!$B$3:$B$3000,'Report Tables'!AR$1,'DATA INPUT'!$A$3:$A$3000,"&gt;="&amp;DATE(2017,10,1),'DATA INPUT'!$A$3:$A$3000,"&lt;"&amp;DATE(2017,10,31),'DATA INPUT'!$F$3:$F$3000,"&lt;&gt;*Exclude*")),#N/A))</f>
        <v>#N/A</v>
      </c>
      <c r="AS12" s="117" t="e">
        <f>IF($L$2="Yes",IFERROR((SUMIFS('DATA INPUT'!$E$3:$E$3000,'DATA INPUT'!$B$3:$B$3000,'Report Tables'!AS$1,'DATA INPUT'!$A$3:$A$3000,"&gt;="&amp;DATE(2017,10,1),'DATA INPUT'!$A$3:$A$3000,"&lt;"&amp;DATE(2017,10,31)))/COUNTIFS('DATA INPUT'!$B$3:$B$3000,'Report Tables'!AS$1,'DATA INPUT'!$A$3:$A$3000,"&gt;="&amp;DATE(2017,10,1),'DATA INPUT'!$A$3:$A$3000,"&lt;"&amp;DATE(2017,10,31)),#N/A),IFERROR((SUMIFS('DATA INPUT'!$E$3:$E$3000,'DATA INPUT'!$B$3:$B$3000,'Report Tables'!AS$1,'DATA INPUT'!$A$3:$A$3000,"&gt;="&amp;DATE(2017,10,1),'DATA INPUT'!$A$3:$A$3000,"&lt;"&amp;DATE(2017,10,31),'DATA INPUT'!$F$3:$F$3000,"&lt;&gt;*Exclude*"))/(COUNTIFS('DATA INPUT'!$B$3:$B$3000,'Report Tables'!AS$1,'DATA INPUT'!$A$3:$A$3000,"&gt;="&amp;DATE(2017,10,1),'DATA INPUT'!$A$3:$A$3000,"&lt;"&amp;DATE(2017,10,31),'DATA INPUT'!$F$3:$F$3000,"&lt;&gt;*Exclude*")),#N/A))</f>
        <v>#N/A</v>
      </c>
      <c r="AT12" s="117" t="e">
        <f>IF($L$2="Yes",IFERROR((SUMIFS('DATA INPUT'!$E$3:$E$3000,'DATA INPUT'!$B$3:$B$3000,'Report Tables'!AT$1,'DATA INPUT'!$A$3:$A$3000,"&gt;="&amp;DATE(2017,10,1),'DATA INPUT'!$A$3:$A$3000,"&lt;"&amp;DATE(2017,10,31)))/COUNTIFS('DATA INPUT'!$B$3:$B$3000,'Report Tables'!AT$1,'DATA INPUT'!$A$3:$A$3000,"&gt;="&amp;DATE(2017,10,1),'DATA INPUT'!$A$3:$A$3000,"&lt;"&amp;DATE(2017,10,31)),#N/A),IFERROR((SUMIFS('DATA INPUT'!$E$3:$E$3000,'DATA INPUT'!$B$3:$B$3000,'Report Tables'!AT$1,'DATA INPUT'!$A$3:$A$3000,"&gt;="&amp;DATE(2017,10,1),'DATA INPUT'!$A$3:$A$3000,"&lt;"&amp;DATE(2017,10,31),'DATA INPUT'!$F$3:$F$3000,"&lt;&gt;*Exclude*"))/(COUNTIFS('DATA INPUT'!$B$3:$B$3000,'Report Tables'!AT$1,'DATA INPUT'!$A$3:$A$3000,"&gt;="&amp;DATE(2017,10,1),'DATA INPUT'!$A$3:$A$3000,"&lt;"&amp;DATE(2017,10,31),'DATA INPUT'!$F$3:$F$3000,"&lt;&gt;*Exclude*")),#N/A))</f>
        <v>#N/A</v>
      </c>
      <c r="AU12" s="117" t="e">
        <f t="shared" si="1"/>
        <v>#N/A</v>
      </c>
      <c r="AV12" s="117" t="e">
        <f>IF($L$2="Yes",IFERROR((SUMIFS('DATA INPUT'!$D$3:$D$3000,'DATA INPUT'!$A$3:$A$3000,"&gt;="&amp;DATE(2017,10,1),'DATA INPUT'!$A$3:$A$3000,"&lt;"&amp;DATE(2017,10,31),'DATA INPUT'!$G$3:$G$3000,"&lt;&gt;*School service*"))/COUNTIFS('DATA INPUT'!$A$3:$A$3000,"&gt;="&amp;DATE(2017,10,1),'DATA INPUT'!$A$3:$A$3000,"&lt;"&amp;DATE(2017,10,31),'DATA INPUT'!$G$3:$G$3000,"&lt;&gt;*School service*",'DATA INPUT'!$D$3:$D$3000,"&lt;&gt;"&amp;""),#N/A),IFERROR((SUMIFS('DATA INPUT'!$D$3:$D$3000,'DATA INPUT'!$A$3:$A$3000,"&gt;="&amp;DATE(2017,10,1),'DATA INPUT'!$A$3:$A$3000,"&lt;"&amp;DATE(2017,10,31),'DATA INPUT'!$F$3:$F$3000,"&lt;&gt;*Exclude*",'DATA INPUT'!$G$3:$G$3000,"&lt;&gt;*School service*"))/(COUNTIFS('DATA INPUT'!$A$3:$A$3000,"&gt;="&amp;DATE(2017,10,1),'DATA INPUT'!$A$3:$A$3000,"&lt;"&amp;DATE(2017,10,31),'DATA INPUT'!$F$3:$F$3000,"&lt;&gt;*Exclude*",'DATA INPUT'!$G$3:$G$3000,"&lt;&gt;*School service*",'DATA INPUT'!$D$3:$D$3000,"&lt;&gt;"&amp;"")),#N/A))</f>
        <v>#N/A</v>
      </c>
      <c r="AW12" s="117" t="e">
        <f t="shared" si="2"/>
        <v>#N/A</v>
      </c>
      <c r="AX12" s="117" t="e">
        <f>IF($L$2="Yes",IFERROR((SUMIFS('DATA INPUT'!$E$3:$E$3000,'DATA INPUT'!$B$3:$B$3000,'Report Tables'!AX$1,'DATA INPUT'!$A$3:$A$3000,"&gt;="&amp;DATE(2017,10,1),'DATA INPUT'!$A$3:$A$3000,"&lt;"&amp;DATE(2017,10,31)))/COUNTIFS('DATA INPUT'!$B$3:$B$3000,'Report Tables'!AX$1,'DATA INPUT'!$A$3:$A$3000,"&gt;="&amp;DATE(2017,10,1),'DATA INPUT'!$A$3:$A$3000,"&lt;"&amp;DATE(2017,10,31)),#N/A),IFERROR((SUMIFS('DATA INPUT'!$E$3:$E$3000,'DATA INPUT'!$B$3:$B$3000,'Report Tables'!AX$1,'DATA INPUT'!$A$3:$A$3000,"&gt;="&amp;DATE(2017,10,1),'DATA INPUT'!$A$3:$A$3000,"&lt;"&amp;DATE(2017,10,31),'DATA INPUT'!$F$3:$F$3000,"&lt;&gt;*Exclude*"))/(COUNTIFS('DATA INPUT'!$B$3:$B$3000,'Report Tables'!AX$1,'DATA INPUT'!$A$3:$A$3000,"&gt;="&amp;DATE(2017,10,1),'DATA INPUT'!$A$3:$A$3000,"&lt;"&amp;DATE(2017,10,31),'DATA INPUT'!$F$3:$F$3000,"&lt;&gt;*Exclude*")),#N/A))</f>
        <v>#N/A</v>
      </c>
      <c r="AY12" s="117" t="e">
        <f>IF($L$2="Yes",IFERROR((SUMIFS('DATA INPUT'!$D$3:$D$3000,'DATA INPUT'!$B$3:$B$3000,'Report Tables'!AX$1,'DATA INPUT'!$A$3:$A$3000,"&gt;="&amp;DATE(2017,10,1),'DATA INPUT'!$A$3:$A$3000,"&lt;"&amp;DATE(2017,10,31)))/COUNTIFS('DATA INPUT'!$B$3:$B$3000,'Report Tables'!AX$1,'DATA INPUT'!$A$3:$A$3000,"&gt;="&amp;DATE(2017,10,1),'DATA INPUT'!$A$3:$A$3000,"&lt;"&amp;DATE(2017,10,31)),#N/A),IFERROR((SUMIFS('DATA INPUT'!$D$3:$D$3000,'DATA INPUT'!$B$3:$B$3000,'Report Tables'!AX$1,'DATA INPUT'!$A$3:$A$3000,"&gt;="&amp;DATE(2017,10,1),'DATA INPUT'!$A$3:$A$3000,"&lt;"&amp;DATE(2017,10,31),'DATA INPUT'!$F$3:$F$3000,"&lt;&gt;*Exclude*"))/(COUNTIFS('DATA INPUT'!$B$3:$B$3000,'Report Tables'!AX$1,'DATA INPUT'!$A$3:$A$3000,"&gt;="&amp;DATE(2017,10,1),'DATA INPUT'!$A$3:$A$3000,"&lt;"&amp;DATE(2017,10,31),'DATA INPUT'!$F$3:$F$3000,"&lt;&gt;*Exclude*")),#N/A))</f>
        <v>#N/A</v>
      </c>
      <c r="AZ12" s="117" t="e">
        <f>IF($L$2="Yes",IFERROR((SUMIFS('DATA INPUT'!$C$3:$C$3000,'DATA INPUT'!$B$3:$B$3000,'Report Tables'!AX$1,'DATA INPUT'!$A$3:$A$3000,"&gt;="&amp;DATE(2017,10,1),'DATA INPUT'!$A$3:$A$3000,"&lt;"&amp;DATE(2017,10,31)))/COUNTIFS('DATA INPUT'!$B$3:$B$3000,'Report Tables'!AX$1,'DATA INPUT'!$A$3:$A$3000,"&gt;="&amp;DATE(2017,10,1),'DATA INPUT'!$A$3:$A$3000,"&lt;"&amp;DATE(2017,10,31)),#N/A),IFERROR((SUMIFS('DATA INPUT'!$C$3:$C$3000,'DATA INPUT'!$B$3:$B$3000,'Report Tables'!AX$1,'DATA INPUT'!$A$3:$A$3000,"&gt;="&amp;DATE(2017,10,1),'DATA INPUT'!$A$3:$A$3000,"&lt;"&amp;DATE(2017,10,31),'DATA INPUT'!$F$3:$F$3000,"&lt;&gt;*Exclude*"))/(COUNTIFS('DATA INPUT'!$B$3:$B$3000,'Report Tables'!AX$1,'DATA INPUT'!$A$3:$A$3000,"&gt;="&amp;DATE(2017,10,1),'DATA INPUT'!$A$3:$A$3000,"&lt;"&amp;DATE(2017,10,31),'DATA INPUT'!$F$3:$F$3000,"&lt;&gt;*Exclude*")),#N/A))</f>
        <v>#N/A</v>
      </c>
    </row>
    <row r="13" spans="1:52" ht="15" thickBot="1" x14ac:dyDescent="0.35">
      <c r="B13" s="8" t="s">
        <v>91</v>
      </c>
      <c r="C13" s="50">
        <f>IFERROR(SUM(C5:C12),"")</f>
        <v>0</v>
      </c>
      <c r="D13" s="50">
        <f t="shared" ref="D13:K13" si="5">IFERROR(SUM(D5:D12),"")</f>
        <v>0</v>
      </c>
      <c r="E13" s="50">
        <f t="shared" si="5"/>
        <v>0</v>
      </c>
      <c r="F13" s="50">
        <f t="shared" si="5"/>
        <v>0</v>
      </c>
      <c r="G13" s="50">
        <f t="shared" si="5"/>
        <v>0</v>
      </c>
      <c r="H13" s="50">
        <f t="shared" si="5"/>
        <v>0</v>
      </c>
      <c r="I13" s="50">
        <f t="shared" si="5"/>
        <v>0</v>
      </c>
      <c r="J13" s="50">
        <f t="shared" si="5"/>
        <v>0</v>
      </c>
      <c r="K13" s="50">
        <f t="shared" si="5"/>
        <v>0</v>
      </c>
      <c r="L13" s="51">
        <f>SUMIFS(C13:K13,C13:K13,"&lt;&gt;#DIV/0!",C13:K13,"&lt;&gt;#n/a")</f>
        <v>0</v>
      </c>
      <c r="M13" s="61" t="str">
        <f>IFERROR(L13/(COUNTIF(C13:K13,"&gt;0")),"")</f>
        <v/>
      </c>
      <c r="N13" s="110"/>
      <c r="P13" s="225"/>
      <c r="Q13" s="225"/>
      <c r="R13" s="225"/>
      <c r="S13" s="229"/>
      <c r="T13" s="229"/>
      <c r="U13" s="229"/>
      <c r="V13" s="229"/>
      <c r="W13" s="229"/>
      <c r="X13" s="182"/>
      <c r="Y13" s="149"/>
      <c r="Z13" s="149" t="s">
        <v>22</v>
      </c>
      <c r="AA13" s="136" t="e">
        <f>IF($L$2="Yes",IF(SUMIFS('DATA INPUT'!$E$3:$E$3000,'DATA INPUT'!$B$3:$B$3000,'Report Tables'!AA$1,'DATA INPUT'!$A$3:$A$3000,"&gt;="&amp;DATE(2017,11,1),'DATA INPUT'!$A$3:$A$3000,"&lt;"&amp;DATE(2017,11,31))=0,#N/A,(SUMIFS('DATA INPUT'!$E$3:$E$3000,'DATA INPUT'!$B$3:$B$3000,'Report Tables'!AA$1,'DATA INPUT'!$A$3:$A$3000,"&gt;="&amp;DATE(2017,11,1),'DATA INPUT'!$A$3:$A$3000,"&lt;"&amp;DATE(2017,11,31)))),IF(SUMIFS('DATA INPUT'!$E$3:$E$3000,'DATA INPUT'!$B$3:$B$3000,'Report Tables'!AA$1,'DATA INPUT'!$A$3:$A$3000,"&gt;="&amp;DATE(2017,11,1),'DATA INPUT'!$A$3:$A$3000,"&lt;"&amp;DATE(2017,11,31),'DATA INPUT'!$F$3:$F$3000,"&lt;&gt;*Exclude*")=0,#N/A,(SUMIFS('DATA INPUT'!$E$3:$E$3000,'DATA INPUT'!$B$3:$B$3000,'Report Tables'!AA$1,'DATA INPUT'!$A$3:$A$3000,"&gt;="&amp;DATE(2017,11,1),'DATA INPUT'!$A$3:$A$3000,"&lt;"&amp;DATE(2017,11,31),'DATA INPUT'!$F$3:$F$3000,"&lt;&gt;*Exclude*"))))</f>
        <v>#N/A</v>
      </c>
      <c r="AB13" s="136" t="e">
        <f>IF($L$2="Yes",IF(SUMIFS('DATA INPUT'!$E$3:$E$3000,'DATA INPUT'!$B$3:$B$3000,'Report Tables'!AB$1,'DATA INPUT'!$A$3:$A$3000,"&gt;="&amp;DATE(2017,11,1),'DATA INPUT'!$A$3:$A$3000,"&lt;"&amp;DATE(2017,11,31))=0,#N/A,(SUMIFS('DATA INPUT'!$E$3:$E$3000,'DATA INPUT'!$B$3:$B$3000,'Report Tables'!AB$1,'DATA INPUT'!$A$3:$A$3000,"&gt;="&amp;DATE(2017,11,1),'DATA INPUT'!$A$3:$A$3000,"&lt;"&amp;DATE(2017,11,31)))),IF(SUMIFS('DATA INPUT'!$E$3:$E$3000,'DATA INPUT'!$B$3:$B$3000,'Report Tables'!AB$1,'DATA INPUT'!$A$3:$A$3000,"&gt;="&amp;DATE(2017,11,1),'DATA INPUT'!$A$3:$A$3000,"&lt;"&amp;DATE(2017,11,31),'DATA INPUT'!$F$3:$F$3000,"&lt;&gt;*Exclude*")=0,#N/A,(SUMIFS('DATA INPUT'!$E$3:$E$3000,'DATA INPUT'!$B$3:$B$3000,'Report Tables'!AB$1,'DATA INPUT'!$A$3:$A$3000,"&gt;="&amp;DATE(2017,11,1),'DATA INPUT'!$A$3:$A$3000,"&lt;"&amp;DATE(2017,11,31),'DATA INPUT'!$F$3:$F$3000,"&lt;&gt;*Exclude*"))))</f>
        <v>#N/A</v>
      </c>
      <c r="AC13" s="136" t="e">
        <f>IF($L$2="Yes",IF(SUMIFS('DATA INPUT'!$E$3:$E$3000,'DATA INPUT'!$B$3:$B$3000,'Report Tables'!AC$1,'DATA INPUT'!$A$3:$A$3000,"&gt;="&amp;DATE(2017,11,1),'DATA INPUT'!$A$3:$A$3000,"&lt;"&amp;DATE(2017,11,31))=0,#N/A,(SUMIFS('DATA INPUT'!$E$3:$E$3000,'DATA INPUT'!$B$3:$B$3000,'Report Tables'!AC$1,'DATA INPUT'!$A$3:$A$3000,"&gt;="&amp;DATE(2017,11,1),'DATA INPUT'!$A$3:$A$3000,"&lt;"&amp;DATE(2017,11,31)))),IF(SUMIFS('DATA INPUT'!$E$3:$E$3000,'DATA INPUT'!$B$3:$B$3000,'Report Tables'!AC$1,'DATA INPUT'!$A$3:$A$3000,"&gt;="&amp;DATE(2017,11,1),'DATA INPUT'!$A$3:$A$3000,"&lt;"&amp;DATE(2017,11,31),'DATA INPUT'!$F$3:$F$3000,"&lt;&gt;*Exclude*")=0,#N/A,(SUMIFS('DATA INPUT'!$E$3:$E$3000,'DATA INPUT'!$B$3:$B$3000,'Report Tables'!AC$1,'DATA INPUT'!$A$3:$A$3000,"&gt;="&amp;DATE(2017,11,1),'DATA INPUT'!$A$3:$A$3000,"&lt;"&amp;DATE(2017,11,31),'DATA INPUT'!$F$3:$F$3000,"&lt;&gt;*Exclude*"))))</f>
        <v>#N/A</v>
      </c>
      <c r="AD13" s="136" t="e">
        <f>IF($L$2="Yes",IF(SUMIFS('DATA INPUT'!$E$3:$E$3000,'DATA INPUT'!$B$3:$B$3000,'Report Tables'!AD$1,'DATA INPUT'!$A$3:$A$3000,"&gt;="&amp;DATE(2017,11,1),'DATA INPUT'!$A$3:$A$3000,"&lt;"&amp;DATE(2017,11,31))=0,#N/A,(SUMIFS('DATA INPUT'!$E$3:$E$3000,'DATA INPUT'!$B$3:$B$3000,'Report Tables'!AD$1,'DATA INPUT'!$A$3:$A$3000,"&gt;="&amp;DATE(2017,11,1),'DATA INPUT'!$A$3:$A$3000,"&lt;"&amp;DATE(2017,11,31)))),IF(SUMIFS('DATA INPUT'!$E$3:$E$3000,'DATA INPUT'!$B$3:$B$3000,'Report Tables'!AD$1,'DATA INPUT'!$A$3:$A$3000,"&gt;="&amp;DATE(2017,11,1),'DATA INPUT'!$A$3:$A$3000,"&lt;"&amp;DATE(2017,11,31),'DATA INPUT'!$F$3:$F$3000,"&lt;&gt;*Exclude*")=0,#N/A,(SUMIFS('DATA INPUT'!$E$3:$E$3000,'DATA INPUT'!$B$3:$B$3000,'Report Tables'!AD$1,'DATA INPUT'!$A$3:$A$3000,"&gt;="&amp;DATE(2017,11,1),'DATA INPUT'!$A$3:$A$3000,"&lt;"&amp;DATE(2017,11,31),'DATA INPUT'!$F$3:$F$3000,"&lt;&gt;*Exclude*"))))</f>
        <v>#N/A</v>
      </c>
      <c r="AE13" s="136" t="e">
        <f>IF($L$2="Yes",IF(SUMIFS('DATA INPUT'!$E$3:$E$3000,'DATA INPUT'!$B$3:$B$3000,'Report Tables'!AE$1,'DATA INPUT'!$A$3:$A$3000,"&gt;="&amp;DATE(2017,11,1),'DATA INPUT'!$A$3:$A$3000,"&lt;"&amp;DATE(2017,11,31))=0,#N/A,(SUMIFS('DATA INPUT'!$E$3:$E$3000,'DATA INPUT'!$B$3:$B$3000,'Report Tables'!AE$1,'DATA INPUT'!$A$3:$A$3000,"&gt;="&amp;DATE(2017,11,1),'DATA INPUT'!$A$3:$A$3000,"&lt;"&amp;DATE(2017,11,31)))),IF(SUMIFS('DATA INPUT'!$E$3:$E$3000,'DATA INPUT'!$B$3:$B$3000,'Report Tables'!AE$1,'DATA INPUT'!$A$3:$A$3000,"&gt;="&amp;DATE(2017,11,1),'DATA INPUT'!$A$3:$A$3000,"&lt;"&amp;DATE(2017,11,31),'DATA INPUT'!$F$3:$F$3000,"&lt;&gt;*Exclude*")=0,#N/A,(SUMIFS('DATA INPUT'!$E$3:$E$3000,'DATA INPUT'!$B$3:$B$3000,'Report Tables'!AE$1,'DATA INPUT'!$A$3:$A$3000,"&gt;="&amp;DATE(2017,11,1),'DATA INPUT'!$A$3:$A$3000,"&lt;"&amp;DATE(2017,11,31),'DATA INPUT'!$F$3:$F$3000,"&lt;&gt;*Exclude*"))))</f>
        <v>#N/A</v>
      </c>
      <c r="AF13" s="136" t="e">
        <f>IF($L$2="Yes",IF(SUMIFS('DATA INPUT'!$E$3:$E$3000,'DATA INPUT'!$B$3:$B$3000,'Report Tables'!AF$1,'DATA INPUT'!$A$3:$A$3000,"&gt;="&amp;DATE(2017,11,1),'DATA INPUT'!$A$3:$A$3000,"&lt;"&amp;DATE(2017,11,31))=0,#N/A,(SUMIFS('DATA INPUT'!$E$3:$E$3000,'DATA INPUT'!$B$3:$B$3000,'Report Tables'!AF$1,'DATA INPUT'!$A$3:$A$3000,"&gt;="&amp;DATE(2017,11,1),'DATA INPUT'!$A$3:$A$3000,"&lt;"&amp;DATE(2017,11,31)))),IF(SUMIFS('DATA INPUT'!$E$3:$E$3000,'DATA INPUT'!$B$3:$B$3000,'Report Tables'!AF$1,'DATA INPUT'!$A$3:$A$3000,"&gt;="&amp;DATE(2017,11,1),'DATA INPUT'!$A$3:$A$3000,"&lt;"&amp;DATE(2017,11,31),'DATA INPUT'!$F$3:$F$3000,"&lt;&gt;*Exclude*")=0,#N/A,(SUMIFS('DATA INPUT'!$E$3:$E$3000,'DATA INPUT'!$B$3:$B$3000,'Report Tables'!AF$1,'DATA INPUT'!$A$3:$A$3000,"&gt;="&amp;DATE(2017,11,1),'DATA INPUT'!$A$3:$A$3000,"&lt;"&amp;DATE(2017,11,31),'DATA INPUT'!$F$3:$F$3000,"&lt;&gt;*Exclude*"))))</f>
        <v>#N/A</v>
      </c>
      <c r="AG13" s="136" t="e">
        <f>IF($L$2="Yes",IF(SUMIFS('DATA INPUT'!$E$3:$E$3000,'DATA INPUT'!$B$3:$B$3000,'Report Tables'!AG$1,'DATA INPUT'!$A$3:$A$3000,"&gt;="&amp;DATE(2017,11,1),'DATA INPUT'!$A$3:$A$3000,"&lt;"&amp;DATE(2017,11,31))=0,#N/A,(SUMIFS('DATA INPUT'!$E$3:$E$3000,'DATA INPUT'!$B$3:$B$3000,'Report Tables'!AG$1,'DATA INPUT'!$A$3:$A$3000,"&gt;="&amp;DATE(2017,11,1),'DATA INPUT'!$A$3:$A$3000,"&lt;"&amp;DATE(2017,11,31)))),IF(SUMIFS('DATA INPUT'!$E$3:$E$3000,'DATA INPUT'!$B$3:$B$3000,'Report Tables'!AG$1,'DATA INPUT'!$A$3:$A$3000,"&gt;="&amp;DATE(2017,11,1),'DATA INPUT'!$A$3:$A$3000,"&lt;"&amp;DATE(2017,11,31),'DATA INPUT'!$F$3:$F$3000,"&lt;&gt;*Exclude*")=0,#N/A,(SUMIFS('DATA INPUT'!$E$3:$E$3000,'DATA INPUT'!$B$3:$B$3000,'Report Tables'!AG$1,'DATA INPUT'!$A$3:$A$3000,"&gt;="&amp;DATE(2017,11,1),'DATA INPUT'!$A$3:$A$3000,"&lt;"&amp;DATE(2017,11,31),'DATA INPUT'!$F$3:$F$3000,"&lt;&gt;*Exclude*"))))</f>
        <v>#N/A</v>
      </c>
      <c r="AH13" s="136" t="e">
        <f>IF($L$2="Yes",IF(SUMIFS('DATA INPUT'!$E$3:$E$3000,'DATA INPUT'!$B$3:$B$3000,'Report Tables'!AH$1,'DATA INPUT'!$A$3:$A$3000,"&gt;="&amp;DATE(2017,11,1),'DATA INPUT'!$A$3:$A$3000,"&lt;"&amp;DATE(2017,11,31))=0,#N/A,(SUMIFS('DATA INPUT'!$E$3:$E$3000,'DATA INPUT'!$B$3:$B$3000,'Report Tables'!AH$1,'DATA INPUT'!$A$3:$A$3000,"&gt;="&amp;DATE(2017,11,1),'DATA INPUT'!$A$3:$A$3000,"&lt;"&amp;DATE(2017,11,31)))),IF(SUMIFS('DATA INPUT'!$E$3:$E$3000,'DATA INPUT'!$B$3:$B$3000,'Report Tables'!AH$1,'DATA INPUT'!$A$3:$A$3000,"&gt;="&amp;DATE(2017,11,1),'DATA INPUT'!$A$3:$A$3000,"&lt;"&amp;DATE(2017,11,31),'DATA INPUT'!$F$3:$F$3000,"&lt;&gt;*Exclude*")=0,#N/A,(SUMIFS('DATA INPUT'!$E$3:$E$3000,'DATA INPUT'!$B$3:$B$3000,'Report Tables'!AH$1,'DATA INPUT'!$A$3:$A$3000,"&gt;="&amp;DATE(2017,11,1),'DATA INPUT'!$A$3:$A$3000,"&lt;"&amp;DATE(2017,11,31),'DATA INPUT'!$F$3:$F$3000,"&lt;&gt;*Exclude*"))))</f>
        <v>#N/A</v>
      </c>
      <c r="AI13" s="136" t="e">
        <f t="shared" si="0"/>
        <v>#N/A</v>
      </c>
      <c r="AJ13" s="136" t="e">
        <f>IF($L$2="Yes",IF(SUMIFS('DATA INPUT'!$D$3:$D$3000,'DATA INPUT'!$A$3:$A$3000,"&gt;="&amp;DATE(2017,11,1),'DATA INPUT'!$A$3:$A$3000,"&lt;"&amp;DATE(2017,11,31),'DATA INPUT'!$G$3:$G$3000,"&lt;&gt;*School service*")=0,#N/A,(SUMIFS('DATA INPUT'!$D$3:$D$3000,'DATA INPUT'!$A$3:$A$3000,"&gt;="&amp;DATE(2017,11,1),'DATA INPUT'!$A$3:$A$3000,"&lt;"&amp;DATE(2017,11,31),'DATA INPUT'!$G$3:$G$3000,"&lt;&gt;*School service*"))),IF(SUMIFS('DATA INPUT'!$D$3:$D$3000,'DATA INPUT'!$A$3:$A$3000,"&gt;="&amp;DATE(2017,11,1),'DATA INPUT'!$A$3:$A$3000,"&lt;"&amp;DATE(2017,11,31),'DATA INPUT'!$F$3:$F$3000,"&lt;&gt;*Exclude*",'DATA INPUT'!$G$3:$G$3000,"&lt;&gt;*School service*")=0,#N/A,(SUMIFS('DATA INPUT'!$D$3:$D$3000,'DATA INPUT'!$A$3:$A$3000,"&gt;="&amp;DATE(2017,11,1),'DATA INPUT'!$A$3:$A$3000,"&lt;"&amp;DATE(2017,11,31),'DATA INPUT'!$F$3:$F$3000,"&lt;&gt;*Exclude*",'DATA INPUT'!$G$3:$G$3000,"&lt;&gt;*School service*"))))</f>
        <v>#N/A</v>
      </c>
      <c r="AK13" s="136" t="e">
        <f>AI13-AJ13</f>
        <v>#N/A</v>
      </c>
      <c r="AM13" s="117" t="e">
        <f>IF($L$2="Yes",IFERROR((SUMIFS('DATA INPUT'!$E$3:$E$3000,'DATA INPUT'!$B$3:$B$3000,'Report Tables'!AM$1,'DATA INPUT'!$A$3:$A$3000,"&gt;="&amp;DATE(2017,11,1),'DATA INPUT'!$A$3:$A$3000,"&lt;"&amp;DATE(2017,11,31)))/COUNTIFS('DATA INPUT'!$B$3:$B$3000,'Report Tables'!AM$1,'DATA INPUT'!$A$3:$A$3000,"&gt;="&amp;DATE(2017,11,1),'DATA INPUT'!$A$3:$A$3000,"&lt;"&amp;DATE(2017,11,31)),#N/A),IFERROR((SUMIFS('DATA INPUT'!$E$3:$E$3000,'DATA INPUT'!$B$3:$B$3000,'Report Tables'!AM$1,'DATA INPUT'!$A$3:$A$3000,"&gt;="&amp;DATE(2017,11,1),'DATA INPUT'!$A$3:$A$3000,"&lt;"&amp;DATE(2017,11,31),'DATA INPUT'!$F$3:$F$3000,"&lt;&gt;*Exclude*"))/(COUNTIFS('DATA INPUT'!$B$3:$B$3000,'Report Tables'!AM$1,'DATA INPUT'!$A$3:$A$3000,"&gt;="&amp;DATE(2017,11,1),'DATA INPUT'!$A$3:$A$3000,"&lt;"&amp;DATE(2017,11,31),'DATA INPUT'!$F$3:$F$3000,"&lt;&gt;*Exclude*")),#N/A))</f>
        <v>#N/A</v>
      </c>
      <c r="AN13" s="117" t="e">
        <f>IF($L$2="Yes",IFERROR((SUMIFS('DATA INPUT'!$E$3:$E$3000,'DATA INPUT'!$B$3:$B$3000,'Report Tables'!AN$1,'DATA INPUT'!$A$3:$A$3000,"&gt;="&amp;DATE(2017,11,1),'DATA INPUT'!$A$3:$A$3000,"&lt;"&amp;DATE(2017,11,31)))/COUNTIFS('DATA INPUT'!$B$3:$B$3000,'Report Tables'!AN$1,'DATA INPUT'!$A$3:$A$3000,"&gt;="&amp;DATE(2017,11,1),'DATA INPUT'!$A$3:$A$3000,"&lt;"&amp;DATE(2017,11,31)),#N/A),IFERROR((SUMIFS('DATA INPUT'!$E$3:$E$3000,'DATA INPUT'!$B$3:$B$3000,'Report Tables'!AN$1,'DATA INPUT'!$A$3:$A$3000,"&gt;="&amp;DATE(2017,11,1),'DATA INPUT'!$A$3:$A$3000,"&lt;"&amp;DATE(2017,11,31),'DATA INPUT'!$F$3:$F$3000,"&lt;&gt;*Exclude*"))/(COUNTIFS('DATA INPUT'!$B$3:$B$3000,'Report Tables'!AN$1,'DATA INPUT'!$A$3:$A$3000,"&gt;="&amp;DATE(2017,11,1),'DATA INPUT'!$A$3:$A$3000,"&lt;"&amp;DATE(2017,11,31),'DATA INPUT'!$F$3:$F$3000,"&lt;&gt;*Exclude*")),#N/A))</f>
        <v>#N/A</v>
      </c>
      <c r="AO13" s="117" t="e">
        <f>IF($L$2="Yes",IFERROR((SUMIFS('DATA INPUT'!$E$3:$E$3000,'DATA INPUT'!$B$3:$B$3000,'Report Tables'!AO$1,'DATA INPUT'!$A$3:$A$3000,"&gt;="&amp;DATE(2017,11,1),'DATA INPUT'!$A$3:$A$3000,"&lt;"&amp;DATE(2017,11,31)))/COUNTIFS('DATA INPUT'!$B$3:$B$3000,'Report Tables'!AO$1,'DATA INPUT'!$A$3:$A$3000,"&gt;="&amp;DATE(2017,11,1),'DATA INPUT'!$A$3:$A$3000,"&lt;"&amp;DATE(2017,11,31)),#N/A),IFERROR((SUMIFS('DATA INPUT'!$E$3:$E$3000,'DATA INPUT'!$B$3:$B$3000,'Report Tables'!AO$1,'DATA INPUT'!$A$3:$A$3000,"&gt;="&amp;DATE(2017,11,1),'DATA INPUT'!$A$3:$A$3000,"&lt;"&amp;DATE(2017,11,31),'DATA INPUT'!$F$3:$F$3000,"&lt;&gt;*Exclude*"))/(COUNTIFS('DATA INPUT'!$B$3:$B$3000,'Report Tables'!AO$1,'DATA INPUT'!$A$3:$A$3000,"&gt;="&amp;DATE(2017,11,1),'DATA INPUT'!$A$3:$A$3000,"&lt;"&amp;DATE(2017,11,31),'DATA INPUT'!$F$3:$F$3000,"&lt;&gt;*Exclude*")),#N/A))</f>
        <v>#N/A</v>
      </c>
      <c r="AP13" s="117" t="e">
        <f>IF($L$2="Yes",IFERROR((SUMIFS('DATA INPUT'!$E$3:$E$3000,'DATA INPUT'!$B$3:$B$3000,'Report Tables'!AP$1,'DATA INPUT'!$A$3:$A$3000,"&gt;="&amp;DATE(2017,11,1),'DATA INPUT'!$A$3:$A$3000,"&lt;"&amp;DATE(2017,11,31)))/COUNTIFS('DATA INPUT'!$B$3:$B$3000,'Report Tables'!AP$1,'DATA INPUT'!$A$3:$A$3000,"&gt;="&amp;DATE(2017,11,1),'DATA INPUT'!$A$3:$A$3000,"&lt;"&amp;DATE(2017,11,31)),#N/A),IFERROR((SUMIFS('DATA INPUT'!$E$3:$E$3000,'DATA INPUT'!$B$3:$B$3000,'Report Tables'!AP$1,'DATA INPUT'!$A$3:$A$3000,"&gt;="&amp;DATE(2017,11,1),'DATA INPUT'!$A$3:$A$3000,"&lt;"&amp;DATE(2017,11,31),'DATA INPUT'!$F$3:$F$3000,"&lt;&gt;*Exclude*"))/(COUNTIFS('DATA INPUT'!$B$3:$B$3000,'Report Tables'!AP$1,'DATA INPUT'!$A$3:$A$3000,"&gt;="&amp;DATE(2017,11,1),'DATA INPUT'!$A$3:$A$3000,"&lt;"&amp;DATE(2017,11,31),'DATA INPUT'!$F$3:$F$3000,"&lt;&gt;*Exclude*")),#N/A))</f>
        <v>#N/A</v>
      </c>
      <c r="AQ13" s="117" t="e">
        <f>IF($L$2="Yes",IFERROR((SUMIFS('DATA INPUT'!$E$3:$E$3000,'DATA INPUT'!$B$3:$B$3000,'Report Tables'!AQ$1,'DATA INPUT'!$A$3:$A$3000,"&gt;="&amp;DATE(2017,11,1),'DATA INPUT'!$A$3:$A$3000,"&lt;"&amp;DATE(2017,11,31)))/COUNTIFS('DATA INPUT'!$B$3:$B$3000,'Report Tables'!AQ$1,'DATA INPUT'!$A$3:$A$3000,"&gt;="&amp;DATE(2017,11,1),'DATA INPUT'!$A$3:$A$3000,"&lt;"&amp;DATE(2017,11,31)),#N/A),IFERROR((SUMIFS('DATA INPUT'!$E$3:$E$3000,'DATA INPUT'!$B$3:$B$3000,'Report Tables'!AQ$1,'DATA INPUT'!$A$3:$A$3000,"&gt;="&amp;DATE(2017,11,1),'DATA INPUT'!$A$3:$A$3000,"&lt;"&amp;DATE(2017,11,31),'DATA INPUT'!$F$3:$F$3000,"&lt;&gt;*Exclude*"))/(COUNTIFS('DATA INPUT'!$B$3:$B$3000,'Report Tables'!AQ$1,'DATA INPUT'!$A$3:$A$3000,"&gt;="&amp;DATE(2017,11,1),'DATA INPUT'!$A$3:$A$3000,"&lt;"&amp;DATE(2017,11,31),'DATA INPUT'!$F$3:$F$3000,"&lt;&gt;*Exclude*")),#N/A))</f>
        <v>#N/A</v>
      </c>
      <c r="AR13" s="117" t="e">
        <f>IF($L$2="Yes",IFERROR((SUMIFS('DATA INPUT'!$E$3:$E$3000,'DATA INPUT'!$B$3:$B$3000,'Report Tables'!AR$1,'DATA INPUT'!$A$3:$A$3000,"&gt;="&amp;DATE(2017,11,1),'DATA INPUT'!$A$3:$A$3000,"&lt;"&amp;DATE(2017,11,31)))/COUNTIFS('DATA INPUT'!$B$3:$B$3000,'Report Tables'!AR$1,'DATA INPUT'!$A$3:$A$3000,"&gt;="&amp;DATE(2017,11,1),'DATA INPUT'!$A$3:$A$3000,"&lt;"&amp;DATE(2017,11,31)),#N/A),IFERROR((SUMIFS('DATA INPUT'!$E$3:$E$3000,'DATA INPUT'!$B$3:$B$3000,'Report Tables'!AR$1,'DATA INPUT'!$A$3:$A$3000,"&gt;="&amp;DATE(2017,11,1),'DATA INPUT'!$A$3:$A$3000,"&lt;"&amp;DATE(2017,11,31),'DATA INPUT'!$F$3:$F$3000,"&lt;&gt;*Exclude*"))/(COUNTIFS('DATA INPUT'!$B$3:$B$3000,'Report Tables'!AR$1,'DATA INPUT'!$A$3:$A$3000,"&gt;="&amp;DATE(2017,11,1),'DATA INPUT'!$A$3:$A$3000,"&lt;"&amp;DATE(2017,11,31),'DATA INPUT'!$F$3:$F$3000,"&lt;&gt;*Exclude*")),#N/A))</f>
        <v>#N/A</v>
      </c>
      <c r="AS13" s="117" t="e">
        <f>IF($L$2="Yes",IFERROR((SUMIFS('DATA INPUT'!$E$3:$E$3000,'DATA INPUT'!$B$3:$B$3000,'Report Tables'!AS$1,'DATA INPUT'!$A$3:$A$3000,"&gt;="&amp;DATE(2017,11,1),'DATA INPUT'!$A$3:$A$3000,"&lt;"&amp;DATE(2017,11,31)))/COUNTIFS('DATA INPUT'!$B$3:$B$3000,'Report Tables'!AS$1,'DATA INPUT'!$A$3:$A$3000,"&gt;="&amp;DATE(2017,11,1),'DATA INPUT'!$A$3:$A$3000,"&lt;"&amp;DATE(2017,11,31)),#N/A),IFERROR((SUMIFS('DATA INPUT'!$E$3:$E$3000,'DATA INPUT'!$B$3:$B$3000,'Report Tables'!AS$1,'DATA INPUT'!$A$3:$A$3000,"&gt;="&amp;DATE(2017,11,1),'DATA INPUT'!$A$3:$A$3000,"&lt;"&amp;DATE(2017,11,31),'DATA INPUT'!$F$3:$F$3000,"&lt;&gt;*Exclude*"))/(COUNTIFS('DATA INPUT'!$B$3:$B$3000,'Report Tables'!AS$1,'DATA INPUT'!$A$3:$A$3000,"&gt;="&amp;DATE(2017,11,1),'DATA INPUT'!$A$3:$A$3000,"&lt;"&amp;DATE(2017,11,31),'DATA INPUT'!$F$3:$F$3000,"&lt;&gt;*Exclude*")),#N/A))</f>
        <v>#N/A</v>
      </c>
      <c r="AT13" s="117" t="e">
        <f>IF($L$2="Yes",IFERROR((SUMIFS('DATA INPUT'!$E$3:$E$3000,'DATA INPUT'!$B$3:$B$3000,'Report Tables'!AT$1,'DATA INPUT'!$A$3:$A$3000,"&gt;="&amp;DATE(2017,11,1),'DATA INPUT'!$A$3:$A$3000,"&lt;"&amp;DATE(2017,11,31)))/COUNTIFS('DATA INPUT'!$B$3:$B$3000,'Report Tables'!AT$1,'DATA INPUT'!$A$3:$A$3000,"&gt;="&amp;DATE(2017,11,1),'DATA INPUT'!$A$3:$A$3000,"&lt;"&amp;DATE(2017,11,31)),#N/A),IFERROR((SUMIFS('DATA INPUT'!$E$3:$E$3000,'DATA INPUT'!$B$3:$B$3000,'Report Tables'!AT$1,'DATA INPUT'!$A$3:$A$3000,"&gt;="&amp;DATE(2017,11,1),'DATA INPUT'!$A$3:$A$3000,"&lt;"&amp;DATE(2017,11,31),'DATA INPUT'!$F$3:$F$3000,"&lt;&gt;*Exclude*"))/(COUNTIFS('DATA INPUT'!$B$3:$B$3000,'Report Tables'!AT$1,'DATA INPUT'!$A$3:$A$3000,"&gt;="&amp;DATE(2017,11,1),'DATA INPUT'!$A$3:$A$3000,"&lt;"&amp;DATE(2017,11,31),'DATA INPUT'!$F$3:$F$3000,"&lt;&gt;*Exclude*")),#N/A))</f>
        <v>#N/A</v>
      </c>
      <c r="AU13" s="117" t="e">
        <f t="shared" si="1"/>
        <v>#N/A</v>
      </c>
      <c r="AV13" s="117" t="e">
        <f>IF($L$2="Yes",IFERROR((SUMIFS('DATA INPUT'!$D$3:$D$3000,'DATA INPUT'!$A$3:$A$3000,"&gt;="&amp;DATE(2017,11,1),'DATA INPUT'!$A$3:$A$3000,"&lt;"&amp;DATE(2017,11,31),'DATA INPUT'!$G$3:$G$3000,"&lt;&gt;*School service*"))/COUNTIFS('DATA INPUT'!$A$3:$A$3000,"&gt;="&amp;DATE(2017,11,1),'DATA INPUT'!$A$3:$A$3000,"&lt;"&amp;DATE(2017,11,31),'DATA INPUT'!$G$3:$G$3000,"&lt;&gt;*School service*",'DATA INPUT'!$D$3:$D$3000,"&lt;&gt;"&amp;""),#N/A),IFERROR((SUMIFS('DATA INPUT'!$D$3:$D$3000,'DATA INPUT'!$A$3:$A$3000,"&gt;="&amp;DATE(2017,11,1),'DATA INPUT'!$A$3:$A$3000,"&lt;"&amp;DATE(2017,11,31),'DATA INPUT'!$F$3:$F$3000,"&lt;&gt;*Exclude*",'DATA INPUT'!$G$3:$G$3000,"&lt;&gt;*School service*"))/(COUNTIFS('DATA INPUT'!$A$3:$A$3000,"&gt;="&amp;DATE(2017,11,1),'DATA INPUT'!$A$3:$A$3000,"&lt;"&amp;DATE(2017,11,31),'DATA INPUT'!$F$3:$F$3000,"&lt;&gt;*Exclude*",'DATA INPUT'!$G$3:$G$3000,"&lt;&gt;*School service*",'DATA INPUT'!$D$3:$D$3000,"&lt;&gt;"&amp;"")),#N/A))</f>
        <v>#N/A</v>
      </c>
      <c r="AW13" s="117" t="e">
        <f t="shared" si="2"/>
        <v>#N/A</v>
      </c>
      <c r="AX13" s="117" t="e">
        <f>IF($L$2="Yes",IFERROR((SUMIFS('DATA INPUT'!$E$3:$E$3000,'DATA INPUT'!$B$3:$B$3000,'Report Tables'!AX$1,'DATA INPUT'!$A$3:$A$3000,"&gt;="&amp;DATE(2017,11,1),'DATA INPUT'!$A$3:$A$3000,"&lt;"&amp;DATE(2017,11,31)))/COUNTIFS('DATA INPUT'!$B$3:$B$3000,'Report Tables'!AX$1,'DATA INPUT'!$A$3:$A$3000,"&gt;="&amp;DATE(2017,11,1),'DATA INPUT'!$A$3:$A$3000,"&lt;"&amp;DATE(2017,11,31)),#N/A),IFERROR((SUMIFS('DATA INPUT'!$E$3:$E$3000,'DATA INPUT'!$B$3:$B$3000,'Report Tables'!AX$1,'DATA INPUT'!$A$3:$A$3000,"&gt;="&amp;DATE(2017,11,1),'DATA INPUT'!$A$3:$A$3000,"&lt;"&amp;DATE(2017,11,31),'DATA INPUT'!$F$3:$F$3000,"&lt;&gt;*Exclude*"))/(COUNTIFS('DATA INPUT'!$B$3:$B$3000,'Report Tables'!AX$1,'DATA INPUT'!$A$3:$A$3000,"&gt;="&amp;DATE(2017,11,1),'DATA INPUT'!$A$3:$A$3000,"&lt;"&amp;DATE(2017,11,31),'DATA INPUT'!$F$3:$F$3000,"&lt;&gt;*Exclude*")),#N/A))</f>
        <v>#N/A</v>
      </c>
      <c r="AY13" s="117" t="e">
        <f>IF($L$2="Yes",IFERROR((SUMIFS('DATA INPUT'!$D$3:$D$3000,'DATA INPUT'!$B$3:$B$3000,'Report Tables'!AX$1,'DATA INPUT'!$A$3:$A$3000,"&gt;="&amp;DATE(2017,11,1),'DATA INPUT'!$A$3:$A$3000,"&lt;"&amp;DATE(2017,11,31)))/COUNTIFS('DATA INPUT'!$B$3:$B$3000,'Report Tables'!AX$1,'DATA INPUT'!$A$3:$A$3000,"&gt;="&amp;DATE(2017,11,1),'DATA INPUT'!$A$3:$A$3000,"&lt;"&amp;DATE(2017,11,31)),#N/A),IFERROR((SUMIFS('DATA INPUT'!$D$3:$D$3000,'DATA INPUT'!$B$3:$B$3000,'Report Tables'!AX$1,'DATA INPUT'!$A$3:$A$3000,"&gt;="&amp;DATE(2017,11,1),'DATA INPUT'!$A$3:$A$3000,"&lt;"&amp;DATE(2017,11,31),'DATA INPUT'!$F$3:$F$3000,"&lt;&gt;*Exclude*"))/(COUNTIFS('DATA INPUT'!$B$3:$B$3000,'Report Tables'!AX$1,'DATA INPUT'!$A$3:$A$3000,"&gt;="&amp;DATE(2017,11,1),'DATA INPUT'!$A$3:$A$3000,"&lt;"&amp;DATE(2017,11,31),'DATA INPUT'!$F$3:$F$3000,"&lt;&gt;*Exclude*")),#N/A))</f>
        <v>#N/A</v>
      </c>
      <c r="AZ13" s="117" t="e">
        <f>IF($L$2="Yes",IFERROR((SUMIFS('DATA INPUT'!$C$3:$C$3000,'DATA INPUT'!$B$3:$B$3000,'Report Tables'!AX$1,'DATA INPUT'!$A$3:$A$3000,"&gt;="&amp;DATE(2017,11,1),'DATA INPUT'!$A$3:$A$3000,"&lt;"&amp;DATE(2017,11,31)))/COUNTIFS('DATA INPUT'!$B$3:$B$3000,'Report Tables'!AX$1,'DATA INPUT'!$A$3:$A$3000,"&gt;="&amp;DATE(2017,11,1),'DATA INPUT'!$A$3:$A$3000,"&lt;"&amp;DATE(2017,11,31)),#N/A),IFERROR((SUMIFS('DATA INPUT'!$C$3:$C$3000,'DATA INPUT'!$B$3:$B$3000,'Report Tables'!AX$1,'DATA INPUT'!$A$3:$A$3000,"&gt;="&amp;DATE(2017,11,1),'DATA INPUT'!$A$3:$A$3000,"&lt;"&amp;DATE(2017,11,31),'DATA INPUT'!$F$3:$F$3000,"&lt;&gt;*Exclude*"))/(COUNTIFS('DATA INPUT'!$B$3:$B$3000,'Report Tables'!AX$1,'DATA INPUT'!$A$3:$A$3000,"&gt;="&amp;DATE(2017,11,1),'DATA INPUT'!$A$3:$A$3000,"&lt;"&amp;DATE(2017,11,31),'DATA INPUT'!$F$3:$F$3000,"&lt;&gt;*Exclude*")),#N/A))</f>
        <v>#N/A</v>
      </c>
    </row>
    <row r="14" spans="1:52" x14ac:dyDescent="0.3">
      <c r="B14" s="8" t="s">
        <v>92</v>
      </c>
      <c r="C14" s="50" t="str">
        <f>IF((SUMIF($A5:$A12,"&lt;&gt;School Service",C5:C12))=0,"",(SUMIF($A5:$A12,"&lt;&gt;School Service",C5:C12)))</f>
        <v/>
      </c>
      <c r="D14" s="50" t="str">
        <f t="shared" ref="D14" si="6">IF((SUMIF($A5:$A12,"&lt;&gt;School Service",D5:D12))=0,"",(SUMIF($A5:$A12,"&lt;&gt;School Service",D5:D12)))</f>
        <v/>
      </c>
      <c r="E14" s="50" t="str">
        <f>IF((SUMIF($A5:$A12,"&lt;&gt;School Service",E5:E12))=0,"",(SUMIF($A5:$A12,"&lt;&gt;School Service",E5:E12)))</f>
        <v/>
      </c>
      <c r="F14" s="50" t="str">
        <f t="shared" ref="F14:L14" si="7">IF((SUMIF($A5:$A12,"&lt;&gt;School Service",F5:F12))=0,"",(SUMIF($A5:$A12,"&lt;&gt;School Service",F5:F12)))</f>
        <v/>
      </c>
      <c r="G14" s="50" t="str">
        <f t="shared" si="7"/>
        <v/>
      </c>
      <c r="H14" s="50" t="str">
        <f t="shared" si="7"/>
        <v/>
      </c>
      <c r="I14" s="50" t="str">
        <f t="shared" si="7"/>
        <v/>
      </c>
      <c r="J14" s="50" t="str">
        <f t="shared" si="7"/>
        <v/>
      </c>
      <c r="K14" s="50" t="str">
        <f t="shared" si="7"/>
        <v/>
      </c>
      <c r="L14" s="51" t="str">
        <f t="shared" si="7"/>
        <v/>
      </c>
      <c r="M14" s="61" t="str">
        <f>IFERROR(L14/(COUNTIF(C14:K14,"&gt;0")),"")</f>
        <v/>
      </c>
      <c r="N14" s="110"/>
      <c r="P14" s="226"/>
      <c r="Q14" s="226"/>
      <c r="R14" s="226"/>
      <c r="S14" s="230"/>
      <c r="T14" s="230"/>
      <c r="U14" s="230"/>
      <c r="V14" s="230"/>
      <c r="W14" s="230"/>
      <c r="X14" s="182"/>
      <c r="Y14" s="149"/>
      <c r="Z14" s="149" t="s">
        <v>23</v>
      </c>
      <c r="AA14" s="136" t="e">
        <f>IF($L$2="Yes",IF(SUMIFS('DATA INPUT'!$E$3:$E$3000,'DATA INPUT'!$B$3:$B$3000,'Report Tables'!AA$1,'DATA INPUT'!$A$3:$A$3000,"&gt;="&amp;DATE(2017,12,1),'DATA INPUT'!$A$3:$A$3000,"&lt;"&amp;DATE(2017,12,31))=0,#N/A,(SUMIFS('DATA INPUT'!$E$3:$E$3000,'DATA INPUT'!$B$3:$B$3000,'Report Tables'!AA$1,'DATA INPUT'!$A$3:$A$3000,"&gt;="&amp;DATE(2017,12,1),'DATA INPUT'!$A$3:$A$3000,"&lt;"&amp;DATE(2017,12,31)))),IF(SUMIFS('DATA INPUT'!$E$3:$E$3000,'DATA INPUT'!$B$3:$B$3000,'Report Tables'!AA$1,'DATA INPUT'!$A$3:$A$3000,"&gt;="&amp;DATE(2017,12,1),'DATA INPUT'!$A$3:$A$3000,"&lt;"&amp;DATE(2017,12,31),'DATA INPUT'!$F$3:$F$3000,"&lt;&gt;*Exclude*")=0,#N/A,(SUMIFS('DATA INPUT'!$E$3:$E$3000,'DATA INPUT'!$B$3:$B$3000,'Report Tables'!AA$1,'DATA INPUT'!$A$3:$A$3000,"&gt;="&amp;DATE(2017,12,1),'DATA INPUT'!$A$3:$A$3000,"&lt;"&amp;DATE(2017,12,31),'DATA INPUT'!$F$3:$F$3000,"&lt;&gt;*Exclude*"))))</f>
        <v>#N/A</v>
      </c>
      <c r="AB14" s="136" t="e">
        <f>IF($L$2="Yes",IF(SUMIFS('DATA INPUT'!$E$3:$E$3000,'DATA INPUT'!$B$3:$B$3000,'Report Tables'!AB$1,'DATA INPUT'!$A$3:$A$3000,"&gt;="&amp;DATE(2017,12,1),'DATA INPUT'!$A$3:$A$3000,"&lt;"&amp;DATE(2017,12,31))=0,#N/A,(SUMIFS('DATA INPUT'!$E$3:$E$3000,'DATA INPUT'!$B$3:$B$3000,'Report Tables'!AB$1,'DATA INPUT'!$A$3:$A$3000,"&gt;="&amp;DATE(2017,12,1),'DATA INPUT'!$A$3:$A$3000,"&lt;"&amp;DATE(2017,12,31)))),IF(SUMIFS('DATA INPUT'!$E$3:$E$3000,'DATA INPUT'!$B$3:$B$3000,'Report Tables'!AB$1,'DATA INPUT'!$A$3:$A$3000,"&gt;="&amp;DATE(2017,12,1),'DATA INPUT'!$A$3:$A$3000,"&lt;"&amp;DATE(2017,12,31),'DATA INPUT'!$F$3:$F$3000,"&lt;&gt;*Exclude*")=0,#N/A,(SUMIFS('DATA INPUT'!$E$3:$E$3000,'DATA INPUT'!$B$3:$B$3000,'Report Tables'!AB$1,'DATA INPUT'!$A$3:$A$3000,"&gt;="&amp;DATE(2017,12,1),'DATA INPUT'!$A$3:$A$3000,"&lt;"&amp;DATE(2017,12,31),'DATA INPUT'!$F$3:$F$3000,"&lt;&gt;*Exclude*"))))</f>
        <v>#N/A</v>
      </c>
      <c r="AC14" s="136" t="e">
        <f>IF($L$2="Yes",IF(SUMIFS('DATA INPUT'!$E$3:$E$3000,'DATA INPUT'!$B$3:$B$3000,'Report Tables'!AC$1,'DATA INPUT'!$A$3:$A$3000,"&gt;="&amp;DATE(2017,12,1),'DATA INPUT'!$A$3:$A$3000,"&lt;"&amp;DATE(2017,12,31))=0,#N/A,(SUMIFS('DATA INPUT'!$E$3:$E$3000,'DATA INPUT'!$B$3:$B$3000,'Report Tables'!AC$1,'DATA INPUT'!$A$3:$A$3000,"&gt;="&amp;DATE(2017,12,1),'DATA INPUT'!$A$3:$A$3000,"&lt;"&amp;DATE(2017,12,31)))),IF(SUMIFS('DATA INPUT'!$E$3:$E$3000,'DATA INPUT'!$B$3:$B$3000,'Report Tables'!AC$1,'DATA INPUT'!$A$3:$A$3000,"&gt;="&amp;DATE(2017,12,1),'DATA INPUT'!$A$3:$A$3000,"&lt;"&amp;DATE(2017,12,31),'DATA INPUT'!$F$3:$F$3000,"&lt;&gt;*Exclude*")=0,#N/A,(SUMIFS('DATA INPUT'!$E$3:$E$3000,'DATA INPUT'!$B$3:$B$3000,'Report Tables'!AC$1,'DATA INPUT'!$A$3:$A$3000,"&gt;="&amp;DATE(2017,12,1),'DATA INPUT'!$A$3:$A$3000,"&lt;"&amp;DATE(2017,12,31),'DATA INPUT'!$F$3:$F$3000,"&lt;&gt;*Exclude*"))))</f>
        <v>#N/A</v>
      </c>
      <c r="AD14" s="136" t="e">
        <f>IF($L$2="Yes",IF(SUMIFS('DATA INPUT'!$E$3:$E$3000,'DATA INPUT'!$B$3:$B$3000,'Report Tables'!AD$1,'DATA INPUT'!$A$3:$A$3000,"&gt;="&amp;DATE(2017,12,1),'DATA INPUT'!$A$3:$A$3000,"&lt;"&amp;DATE(2017,12,31))=0,#N/A,(SUMIFS('DATA INPUT'!$E$3:$E$3000,'DATA INPUT'!$B$3:$B$3000,'Report Tables'!AD$1,'DATA INPUT'!$A$3:$A$3000,"&gt;="&amp;DATE(2017,12,1),'DATA INPUT'!$A$3:$A$3000,"&lt;"&amp;DATE(2017,12,31)))),IF(SUMIFS('DATA INPUT'!$E$3:$E$3000,'DATA INPUT'!$B$3:$B$3000,'Report Tables'!AD$1,'DATA INPUT'!$A$3:$A$3000,"&gt;="&amp;DATE(2017,12,1),'DATA INPUT'!$A$3:$A$3000,"&lt;"&amp;DATE(2017,12,31),'DATA INPUT'!$F$3:$F$3000,"&lt;&gt;*Exclude*")=0,#N/A,(SUMIFS('DATA INPUT'!$E$3:$E$3000,'DATA INPUT'!$B$3:$B$3000,'Report Tables'!AD$1,'DATA INPUT'!$A$3:$A$3000,"&gt;="&amp;DATE(2017,12,1),'DATA INPUT'!$A$3:$A$3000,"&lt;"&amp;DATE(2017,12,31),'DATA INPUT'!$F$3:$F$3000,"&lt;&gt;*Exclude*"))))</f>
        <v>#N/A</v>
      </c>
      <c r="AE14" s="136" t="e">
        <f>IF($L$2="Yes",IF(SUMIFS('DATA INPUT'!$E$3:$E$3000,'DATA INPUT'!$B$3:$B$3000,'Report Tables'!AE$1,'DATA INPUT'!$A$3:$A$3000,"&gt;="&amp;DATE(2017,12,1),'DATA INPUT'!$A$3:$A$3000,"&lt;"&amp;DATE(2017,12,31))=0,#N/A,(SUMIFS('DATA INPUT'!$E$3:$E$3000,'DATA INPUT'!$B$3:$B$3000,'Report Tables'!AE$1,'DATA INPUT'!$A$3:$A$3000,"&gt;="&amp;DATE(2017,12,1),'DATA INPUT'!$A$3:$A$3000,"&lt;"&amp;DATE(2017,12,31)))),IF(SUMIFS('DATA INPUT'!$E$3:$E$3000,'DATA INPUT'!$B$3:$B$3000,'Report Tables'!AE$1,'DATA INPUT'!$A$3:$A$3000,"&gt;="&amp;DATE(2017,12,1),'DATA INPUT'!$A$3:$A$3000,"&lt;"&amp;DATE(2017,12,31),'DATA INPUT'!$F$3:$F$3000,"&lt;&gt;*Exclude*")=0,#N/A,(SUMIFS('DATA INPUT'!$E$3:$E$3000,'DATA INPUT'!$B$3:$B$3000,'Report Tables'!AE$1,'DATA INPUT'!$A$3:$A$3000,"&gt;="&amp;DATE(2017,12,1),'DATA INPUT'!$A$3:$A$3000,"&lt;"&amp;DATE(2017,12,31),'DATA INPUT'!$F$3:$F$3000,"&lt;&gt;*Exclude*"))))</f>
        <v>#N/A</v>
      </c>
      <c r="AF14" s="136" t="e">
        <f>IF($L$2="Yes",IF(SUMIFS('DATA INPUT'!$E$3:$E$3000,'DATA INPUT'!$B$3:$B$3000,'Report Tables'!AF$1,'DATA INPUT'!$A$3:$A$3000,"&gt;="&amp;DATE(2017,12,1),'DATA INPUT'!$A$3:$A$3000,"&lt;"&amp;DATE(2017,12,31))=0,#N/A,(SUMIFS('DATA INPUT'!$E$3:$E$3000,'DATA INPUT'!$B$3:$B$3000,'Report Tables'!AF$1,'DATA INPUT'!$A$3:$A$3000,"&gt;="&amp;DATE(2017,12,1),'DATA INPUT'!$A$3:$A$3000,"&lt;"&amp;DATE(2017,12,31)))),IF(SUMIFS('DATA INPUT'!$E$3:$E$3000,'DATA INPUT'!$B$3:$B$3000,'Report Tables'!AF$1,'DATA INPUT'!$A$3:$A$3000,"&gt;="&amp;DATE(2017,12,1),'DATA INPUT'!$A$3:$A$3000,"&lt;"&amp;DATE(2017,12,31),'DATA INPUT'!$F$3:$F$3000,"&lt;&gt;*Exclude*")=0,#N/A,(SUMIFS('DATA INPUT'!$E$3:$E$3000,'DATA INPUT'!$B$3:$B$3000,'Report Tables'!AF$1,'DATA INPUT'!$A$3:$A$3000,"&gt;="&amp;DATE(2017,12,1),'DATA INPUT'!$A$3:$A$3000,"&lt;"&amp;DATE(2017,12,31),'DATA INPUT'!$F$3:$F$3000,"&lt;&gt;*Exclude*"))))</f>
        <v>#N/A</v>
      </c>
      <c r="AG14" s="136" t="e">
        <f>IF($L$2="Yes",IF(SUMIFS('DATA INPUT'!$E$3:$E$3000,'DATA INPUT'!$B$3:$B$3000,'Report Tables'!AG$1,'DATA INPUT'!$A$3:$A$3000,"&gt;="&amp;DATE(2017,12,1),'DATA INPUT'!$A$3:$A$3000,"&lt;"&amp;DATE(2017,12,31))=0,#N/A,(SUMIFS('DATA INPUT'!$E$3:$E$3000,'DATA INPUT'!$B$3:$B$3000,'Report Tables'!AG$1,'DATA INPUT'!$A$3:$A$3000,"&gt;="&amp;DATE(2017,12,1),'DATA INPUT'!$A$3:$A$3000,"&lt;"&amp;DATE(2017,12,31)))),IF(SUMIFS('DATA INPUT'!$E$3:$E$3000,'DATA INPUT'!$B$3:$B$3000,'Report Tables'!AG$1,'DATA INPUT'!$A$3:$A$3000,"&gt;="&amp;DATE(2017,12,1),'DATA INPUT'!$A$3:$A$3000,"&lt;"&amp;DATE(2017,12,31),'DATA INPUT'!$F$3:$F$3000,"&lt;&gt;*Exclude*")=0,#N/A,(SUMIFS('DATA INPUT'!$E$3:$E$3000,'DATA INPUT'!$B$3:$B$3000,'Report Tables'!AG$1,'DATA INPUT'!$A$3:$A$3000,"&gt;="&amp;DATE(2017,12,1),'DATA INPUT'!$A$3:$A$3000,"&lt;"&amp;DATE(2017,12,31),'DATA INPUT'!$F$3:$F$3000,"&lt;&gt;*Exclude*"))))</f>
        <v>#N/A</v>
      </c>
      <c r="AH14" s="136" t="e">
        <f>IF($L$2="Yes",IF(SUMIFS('DATA INPUT'!$E$3:$E$3000,'DATA INPUT'!$B$3:$B$3000,'Report Tables'!AH$1,'DATA INPUT'!$A$3:$A$3000,"&gt;="&amp;DATE(2017,12,1),'DATA INPUT'!$A$3:$A$3000,"&lt;"&amp;DATE(2017,12,31))=0,#N/A,(SUMIFS('DATA INPUT'!$E$3:$E$3000,'DATA INPUT'!$B$3:$B$3000,'Report Tables'!AH$1,'DATA INPUT'!$A$3:$A$3000,"&gt;="&amp;DATE(2017,12,1),'DATA INPUT'!$A$3:$A$3000,"&lt;"&amp;DATE(2017,12,31)))),IF(SUMIFS('DATA INPUT'!$E$3:$E$3000,'DATA INPUT'!$B$3:$B$3000,'Report Tables'!AH$1,'DATA INPUT'!$A$3:$A$3000,"&gt;="&amp;DATE(2017,12,1),'DATA INPUT'!$A$3:$A$3000,"&lt;"&amp;DATE(2017,12,31),'DATA INPUT'!$F$3:$F$3000,"&lt;&gt;*Exclude*")=0,#N/A,(SUMIFS('DATA INPUT'!$E$3:$E$3000,'DATA INPUT'!$B$3:$B$3000,'Report Tables'!AH$1,'DATA INPUT'!$A$3:$A$3000,"&gt;="&amp;DATE(2017,12,1),'DATA INPUT'!$A$3:$A$3000,"&lt;"&amp;DATE(2017,12,31),'DATA INPUT'!$F$3:$F$3000,"&lt;&gt;*Exclude*"))))</f>
        <v>#N/A</v>
      </c>
      <c r="AI14" s="136" t="e">
        <f t="shared" si="0"/>
        <v>#N/A</v>
      </c>
      <c r="AJ14" s="136" t="e">
        <f>IF($L$2="Yes",IF(SUMIFS('DATA INPUT'!$D$3:$D$3000,'DATA INPUT'!$A$3:$A$3000,"&gt;="&amp;DATE(2017,12,1),'DATA INPUT'!$A$3:$A$3000,"&lt;"&amp;DATE(2017,12,31),'DATA INPUT'!$G$3:$G$3000,"&lt;&gt;*School service*")=0,#N/A,(SUMIFS('DATA INPUT'!$D$3:$D$3000,'DATA INPUT'!$A$3:$A$3000,"&gt;="&amp;DATE(2017,12,1),'DATA INPUT'!$A$3:$A$3000,"&lt;"&amp;DATE(2017,12,31),'DATA INPUT'!$G$3:$G$3000,"&lt;&gt;*School service*"))),IF(SUMIFS('DATA INPUT'!$D$3:$D$3000,'DATA INPUT'!$A$3:$A$3000,"&gt;="&amp;DATE(2017,12,1),'DATA INPUT'!$A$3:$A$3000,"&lt;"&amp;DATE(2017,12,31),'DATA INPUT'!$F$3:$F$3000,"&lt;&gt;*Exclude*",'DATA INPUT'!$G$3:$G$3000,"&lt;&gt;*School service*")=0,#N/A,(SUMIFS('DATA INPUT'!$D$3:$D$3000,'DATA INPUT'!$A$3:$A$3000,"&gt;="&amp;DATE(2017,12,1),'DATA INPUT'!$A$3:$A$3000,"&lt;"&amp;DATE(2017,12,31),'DATA INPUT'!$F$3:$F$3000,"&lt;&gt;*Exclude*",'DATA INPUT'!$G$3:$G$3000,"&lt;&gt;*School service*"))))</f>
        <v>#N/A</v>
      </c>
      <c r="AK14" s="136" t="e">
        <f>AI14-AJ14</f>
        <v>#N/A</v>
      </c>
      <c r="AM14" s="117" t="e">
        <f>IF($L$2="Yes",IFERROR((SUMIFS('DATA INPUT'!$E$3:$E$3000,'DATA INPUT'!$B$3:$B$3000,'Report Tables'!AM$1,'DATA INPUT'!$A$3:$A$3000,"&gt;="&amp;DATE(2017,12,1),'DATA INPUT'!$A$3:$A$3000,"&lt;"&amp;DATE(2017,12,31)))/COUNTIFS('DATA INPUT'!$B$3:$B$3000,'Report Tables'!AM$1,'DATA INPUT'!$A$3:$A$3000,"&gt;="&amp;DATE(2017,12,1),'DATA INPUT'!$A$3:$A$3000,"&lt;"&amp;DATE(2017,12,31)),#N/A),IFERROR((SUMIFS('DATA INPUT'!$E$3:$E$3000,'DATA INPUT'!$B$3:$B$3000,'Report Tables'!AM$1,'DATA INPUT'!$A$3:$A$3000,"&gt;="&amp;DATE(2017,12,1),'DATA INPUT'!$A$3:$A$3000,"&lt;"&amp;DATE(2017,12,31),'DATA INPUT'!$F$3:$F$3000,"&lt;&gt;*Exclude*"))/(COUNTIFS('DATA INPUT'!$B$3:$B$3000,'Report Tables'!AM$1,'DATA INPUT'!$A$3:$A$3000,"&gt;="&amp;DATE(2017,12,1),'DATA INPUT'!$A$3:$A$3000,"&lt;"&amp;DATE(2017,12,31),'DATA INPUT'!$F$3:$F$3000,"&lt;&gt;*Exclude*")),#N/A))</f>
        <v>#N/A</v>
      </c>
      <c r="AN14" s="117" t="e">
        <f>IF($L$2="Yes",IFERROR((SUMIFS('DATA INPUT'!$E$3:$E$3000,'DATA INPUT'!$B$3:$B$3000,'Report Tables'!AN$1,'DATA INPUT'!$A$3:$A$3000,"&gt;="&amp;DATE(2017,12,1),'DATA INPUT'!$A$3:$A$3000,"&lt;"&amp;DATE(2017,12,31)))/COUNTIFS('DATA INPUT'!$B$3:$B$3000,'Report Tables'!AN$1,'DATA INPUT'!$A$3:$A$3000,"&gt;="&amp;DATE(2017,12,1),'DATA INPUT'!$A$3:$A$3000,"&lt;"&amp;DATE(2017,12,31)),#N/A),IFERROR((SUMIFS('DATA INPUT'!$E$3:$E$3000,'DATA INPUT'!$B$3:$B$3000,'Report Tables'!AN$1,'DATA INPUT'!$A$3:$A$3000,"&gt;="&amp;DATE(2017,12,1),'DATA INPUT'!$A$3:$A$3000,"&lt;"&amp;DATE(2017,12,31),'DATA INPUT'!$F$3:$F$3000,"&lt;&gt;*Exclude*"))/(COUNTIFS('DATA INPUT'!$B$3:$B$3000,'Report Tables'!AN$1,'DATA INPUT'!$A$3:$A$3000,"&gt;="&amp;DATE(2017,12,1),'DATA INPUT'!$A$3:$A$3000,"&lt;"&amp;DATE(2017,12,31),'DATA INPUT'!$F$3:$F$3000,"&lt;&gt;*Exclude*")),#N/A))</f>
        <v>#N/A</v>
      </c>
      <c r="AO14" s="117" t="e">
        <f>IF($L$2="Yes",IFERROR((SUMIFS('DATA INPUT'!$E$3:$E$3000,'DATA INPUT'!$B$3:$B$3000,'Report Tables'!AO$1,'DATA INPUT'!$A$3:$A$3000,"&gt;="&amp;DATE(2017,12,1),'DATA INPUT'!$A$3:$A$3000,"&lt;"&amp;DATE(2017,12,31)))/COUNTIFS('DATA INPUT'!$B$3:$B$3000,'Report Tables'!AO$1,'DATA INPUT'!$A$3:$A$3000,"&gt;="&amp;DATE(2017,12,1),'DATA INPUT'!$A$3:$A$3000,"&lt;"&amp;DATE(2017,12,31)),#N/A),IFERROR((SUMIFS('DATA INPUT'!$E$3:$E$3000,'DATA INPUT'!$B$3:$B$3000,'Report Tables'!AO$1,'DATA INPUT'!$A$3:$A$3000,"&gt;="&amp;DATE(2017,12,1),'DATA INPUT'!$A$3:$A$3000,"&lt;"&amp;DATE(2017,12,31),'DATA INPUT'!$F$3:$F$3000,"&lt;&gt;*Exclude*"))/(COUNTIFS('DATA INPUT'!$B$3:$B$3000,'Report Tables'!AO$1,'DATA INPUT'!$A$3:$A$3000,"&gt;="&amp;DATE(2017,12,1),'DATA INPUT'!$A$3:$A$3000,"&lt;"&amp;DATE(2017,12,31),'DATA INPUT'!$F$3:$F$3000,"&lt;&gt;*Exclude*")),#N/A))</f>
        <v>#N/A</v>
      </c>
      <c r="AP14" s="117" t="e">
        <f>IF($L$2="Yes",IFERROR((SUMIFS('DATA INPUT'!$E$3:$E$3000,'DATA INPUT'!$B$3:$B$3000,'Report Tables'!AP$1,'DATA INPUT'!$A$3:$A$3000,"&gt;="&amp;DATE(2017,12,1),'DATA INPUT'!$A$3:$A$3000,"&lt;"&amp;DATE(2017,12,31)))/COUNTIFS('DATA INPUT'!$B$3:$B$3000,'Report Tables'!AP$1,'DATA INPUT'!$A$3:$A$3000,"&gt;="&amp;DATE(2017,12,1),'DATA INPUT'!$A$3:$A$3000,"&lt;"&amp;DATE(2017,12,31)),#N/A),IFERROR((SUMIFS('DATA INPUT'!$E$3:$E$3000,'DATA INPUT'!$B$3:$B$3000,'Report Tables'!AP$1,'DATA INPUT'!$A$3:$A$3000,"&gt;="&amp;DATE(2017,12,1),'DATA INPUT'!$A$3:$A$3000,"&lt;"&amp;DATE(2017,12,31),'DATA INPUT'!$F$3:$F$3000,"&lt;&gt;*Exclude*"))/(COUNTIFS('DATA INPUT'!$B$3:$B$3000,'Report Tables'!AP$1,'DATA INPUT'!$A$3:$A$3000,"&gt;="&amp;DATE(2017,12,1),'DATA INPUT'!$A$3:$A$3000,"&lt;"&amp;DATE(2017,12,31),'DATA INPUT'!$F$3:$F$3000,"&lt;&gt;*Exclude*")),#N/A))</f>
        <v>#N/A</v>
      </c>
      <c r="AQ14" s="117" t="e">
        <f>IF($L$2="Yes",IFERROR((SUMIFS('DATA INPUT'!$E$3:$E$3000,'DATA INPUT'!$B$3:$B$3000,'Report Tables'!AQ$1,'DATA INPUT'!$A$3:$A$3000,"&gt;="&amp;DATE(2017,12,1),'DATA INPUT'!$A$3:$A$3000,"&lt;"&amp;DATE(2017,12,31)))/COUNTIFS('DATA INPUT'!$B$3:$B$3000,'Report Tables'!AQ$1,'DATA INPUT'!$A$3:$A$3000,"&gt;="&amp;DATE(2017,12,1),'DATA INPUT'!$A$3:$A$3000,"&lt;"&amp;DATE(2017,12,31)),#N/A),IFERROR((SUMIFS('DATA INPUT'!$E$3:$E$3000,'DATA INPUT'!$B$3:$B$3000,'Report Tables'!AQ$1,'DATA INPUT'!$A$3:$A$3000,"&gt;="&amp;DATE(2017,12,1),'DATA INPUT'!$A$3:$A$3000,"&lt;"&amp;DATE(2017,12,31),'DATA INPUT'!$F$3:$F$3000,"&lt;&gt;*Exclude*"))/(COUNTIFS('DATA INPUT'!$B$3:$B$3000,'Report Tables'!AQ$1,'DATA INPUT'!$A$3:$A$3000,"&gt;="&amp;DATE(2017,12,1),'DATA INPUT'!$A$3:$A$3000,"&lt;"&amp;DATE(2017,12,31),'DATA INPUT'!$F$3:$F$3000,"&lt;&gt;*Exclude*")),#N/A))</f>
        <v>#N/A</v>
      </c>
      <c r="AR14" s="117" t="e">
        <f>IF($L$2="Yes",IFERROR((SUMIFS('DATA INPUT'!$E$3:$E$3000,'DATA INPUT'!$B$3:$B$3000,'Report Tables'!AR$1,'DATA INPUT'!$A$3:$A$3000,"&gt;="&amp;DATE(2017,12,1),'DATA INPUT'!$A$3:$A$3000,"&lt;"&amp;DATE(2017,12,31)))/COUNTIFS('DATA INPUT'!$B$3:$B$3000,'Report Tables'!AR$1,'DATA INPUT'!$A$3:$A$3000,"&gt;="&amp;DATE(2017,12,1),'DATA INPUT'!$A$3:$A$3000,"&lt;"&amp;DATE(2017,12,31)),#N/A),IFERROR((SUMIFS('DATA INPUT'!$E$3:$E$3000,'DATA INPUT'!$B$3:$B$3000,'Report Tables'!AR$1,'DATA INPUT'!$A$3:$A$3000,"&gt;="&amp;DATE(2017,12,1),'DATA INPUT'!$A$3:$A$3000,"&lt;"&amp;DATE(2017,12,31),'DATA INPUT'!$F$3:$F$3000,"&lt;&gt;*Exclude*"))/(COUNTIFS('DATA INPUT'!$B$3:$B$3000,'Report Tables'!AR$1,'DATA INPUT'!$A$3:$A$3000,"&gt;="&amp;DATE(2017,12,1),'DATA INPUT'!$A$3:$A$3000,"&lt;"&amp;DATE(2017,12,31),'DATA INPUT'!$F$3:$F$3000,"&lt;&gt;*Exclude*")),#N/A))</f>
        <v>#N/A</v>
      </c>
      <c r="AS14" s="117" t="e">
        <f>IF($L$2="Yes",IFERROR((SUMIFS('DATA INPUT'!$E$3:$E$3000,'DATA INPUT'!$B$3:$B$3000,'Report Tables'!AS$1,'DATA INPUT'!$A$3:$A$3000,"&gt;="&amp;DATE(2017,12,1),'DATA INPUT'!$A$3:$A$3000,"&lt;"&amp;DATE(2017,12,31)))/COUNTIFS('DATA INPUT'!$B$3:$B$3000,'Report Tables'!AS$1,'DATA INPUT'!$A$3:$A$3000,"&gt;="&amp;DATE(2017,12,1),'DATA INPUT'!$A$3:$A$3000,"&lt;"&amp;DATE(2017,12,31)),#N/A),IFERROR((SUMIFS('DATA INPUT'!$E$3:$E$3000,'DATA INPUT'!$B$3:$B$3000,'Report Tables'!AS$1,'DATA INPUT'!$A$3:$A$3000,"&gt;="&amp;DATE(2017,12,1),'DATA INPUT'!$A$3:$A$3000,"&lt;"&amp;DATE(2017,12,31),'DATA INPUT'!$F$3:$F$3000,"&lt;&gt;*Exclude*"))/(COUNTIFS('DATA INPUT'!$B$3:$B$3000,'Report Tables'!AS$1,'DATA INPUT'!$A$3:$A$3000,"&gt;="&amp;DATE(2017,12,1),'DATA INPUT'!$A$3:$A$3000,"&lt;"&amp;DATE(2017,12,31),'DATA INPUT'!$F$3:$F$3000,"&lt;&gt;*Exclude*")),#N/A))</f>
        <v>#N/A</v>
      </c>
      <c r="AT14" s="117" t="e">
        <f>IF($L$2="Yes",IFERROR((SUMIFS('DATA INPUT'!$E$3:$E$3000,'DATA INPUT'!$B$3:$B$3000,'Report Tables'!AT$1,'DATA INPUT'!$A$3:$A$3000,"&gt;="&amp;DATE(2017,12,1),'DATA INPUT'!$A$3:$A$3000,"&lt;"&amp;DATE(2017,12,31)))/COUNTIFS('DATA INPUT'!$B$3:$B$3000,'Report Tables'!AT$1,'DATA INPUT'!$A$3:$A$3000,"&gt;="&amp;DATE(2017,12,1),'DATA INPUT'!$A$3:$A$3000,"&lt;"&amp;DATE(2017,12,31)),#N/A),IFERROR((SUMIFS('DATA INPUT'!$E$3:$E$3000,'DATA INPUT'!$B$3:$B$3000,'Report Tables'!AT$1,'DATA INPUT'!$A$3:$A$3000,"&gt;="&amp;DATE(2017,12,1),'DATA INPUT'!$A$3:$A$3000,"&lt;"&amp;DATE(2017,12,31),'DATA INPUT'!$F$3:$F$3000,"&lt;&gt;*Exclude*"))/(COUNTIFS('DATA INPUT'!$B$3:$B$3000,'Report Tables'!AT$1,'DATA INPUT'!$A$3:$A$3000,"&gt;="&amp;DATE(2017,12,1),'DATA INPUT'!$A$3:$A$3000,"&lt;"&amp;DATE(2017,12,31),'DATA INPUT'!$F$3:$F$3000,"&lt;&gt;*Exclude*")),#N/A))</f>
        <v>#N/A</v>
      </c>
      <c r="AU14" s="117" t="e">
        <f t="shared" si="1"/>
        <v>#N/A</v>
      </c>
      <c r="AV14" s="117" t="e">
        <f>IF($L$2="Yes",IFERROR((SUMIFS('DATA INPUT'!$D$3:$D$3000,'DATA INPUT'!$A$3:$A$3000,"&gt;="&amp;DATE(2017,12,1),'DATA INPUT'!$A$3:$A$3000,"&lt;"&amp;DATE(2017,12,31),'DATA INPUT'!$G$3:$G$3000,"&lt;&gt;*School service*"))/COUNTIFS('DATA INPUT'!$A$3:$A$3000,"&gt;="&amp;DATE(2017,12,1),'DATA INPUT'!$A$3:$A$3000,"&lt;"&amp;DATE(2017,12,31),'DATA INPUT'!$G$3:$G$3000,"&lt;&gt;*School service*",'DATA INPUT'!$D$3:$D$3000,"&lt;&gt;"&amp;""),#N/A),IFERROR((SUMIFS('DATA INPUT'!$D$3:$D$3000,'DATA INPUT'!$A$3:$A$3000,"&gt;="&amp;DATE(2017,12,1),'DATA INPUT'!$A$3:$A$3000,"&lt;"&amp;DATE(2017,12,31),'DATA INPUT'!$F$3:$F$3000,"&lt;&gt;*Exclude*",'DATA INPUT'!$G$3:$G$3000,"&lt;&gt;*School service*"))/(COUNTIFS('DATA INPUT'!$A$3:$A$3000,"&gt;="&amp;DATE(2017,12,1),'DATA INPUT'!$A$3:$A$3000,"&lt;"&amp;DATE(2017,12,31),'DATA INPUT'!$F$3:$F$3000,"&lt;&gt;*Exclude*",'DATA INPUT'!$G$3:$G$3000,"&lt;&gt;*School service*",'DATA INPUT'!$D$3:$D$3000,"&lt;&gt;"&amp;"")),#N/A))</f>
        <v>#N/A</v>
      </c>
      <c r="AW14" s="117" t="e">
        <f t="shared" si="2"/>
        <v>#N/A</v>
      </c>
      <c r="AX14" s="117" t="e">
        <f>IF($L$2="Yes",IFERROR((SUMIFS('DATA INPUT'!$E$3:$E$3000,'DATA INPUT'!$B$3:$B$3000,'Report Tables'!AX$1,'DATA INPUT'!$A$3:$A$3000,"&gt;="&amp;DATE(2017,12,1),'DATA INPUT'!$A$3:$A$3000,"&lt;"&amp;DATE(2017,12,31)))/COUNTIFS('DATA INPUT'!$B$3:$B$3000,'Report Tables'!AX$1,'DATA INPUT'!$A$3:$A$3000,"&gt;="&amp;DATE(2017,12,1),'DATA INPUT'!$A$3:$A$3000,"&lt;"&amp;DATE(2017,12,31)),#N/A),IFERROR((SUMIFS('DATA INPUT'!$E$3:$E$3000,'DATA INPUT'!$B$3:$B$3000,'Report Tables'!AX$1,'DATA INPUT'!$A$3:$A$3000,"&gt;="&amp;DATE(2017,12,1),'DATA INPUT'!$A$3:$A$3000,"&lt;"&amp;DATE(2017,12,31),'DATA INPUT'!$F$3:$F$3000,"&lt;&gt;*Exclude*"))/(COUNTIFS('DATA INPUT'!$B$3:$B$3000,'Report Tables'!AX$1,'DATA INPUT'!$A$3:$A$3000,"&gt;="&amp;DATE(2017,12,1),'DATA INPUT'!$A$3:$A$3000,"&lt;"&amp;DATE(2017,12,31),'DATA INPUT'!$F$3:$F$3000,"&lt;&gt;*Exclude*")),#N/A))</f>
        <v>#N/A</v>
      </c>
      <c r="AY14" s="117" t="e">
        <f>IF($L$2="Yes",IFERROR((SUMIFS('DATA INPUT'!$D$3:$D$3000,'DATA INPUT'!$B$3:$B$3000,'Report Tables'!AX$1,'DATA INPUT'!$A$3:$A$3000,"&gt;="&amp;DATE(2017,12,1),'DATA INPUT'!$A$3:$A$3000,"&lt;"&amp;DATE(2017,12,31)))/COUNTIFS('DATA INPUT'!$B$3:$B$3000,'Report Tables'!AX$1,'DATA INPUT'!$A$3:$A$3000,"&gt;="&amp;DATE(2017,12,1),'DATA INPUT'!$A$3:$A$3000,"&lt;"&amp;DATE(2017,12,31)),#N/A),IFERROR((SUMIFS('DATA INPUT'!$D$3:$D$3000,'DATA INPUT'!$B$3:$B$3000,'Report Tables'!AX$1,'DATA INPUT'!$A$3:$A$3000,"&gt;="&amp;DATE(2017,12,1),'DATA INPUT'!$A$3:$A$3000,"&lt;"&amp;DATE(2017,12,31),'DATA INPUT'!$F$3:$F$3000,"&lt;&gt;*Exclude*"))/(COUNTIFS('DATA INPUT'!$B$3:$B$3000,'Report Tables'!AX$1,'DATA INPUT'!$A$3:$A$3000,"&gt;="&amp;DATE(2017,12,1),'DATA INPUT'!$A$3:$A$3000,"&lt;"&amp;DATE(2017,12,31),'DATA INPUT'!$F$3:$F$3000,"&lt;&gt;*Exclude*")),#N/A))</f>
        <v>#N/A</v>
      </c>
      <c r="AZ14" s="117" t="e">
        <f>IF($L$2="Yes",IFERROR((SUMIFS('DATA INPUT'!$C$3:$C$3000,'DATA INPUT'!$B$3:$B$3000,'Report Tables'!AX$1,'DATA INPUT'!$A$3:$A$3000,"&gt;="&amp;DATE(2017,12,1),'DATA INPUT'!$A$3:$A$3000,"&lt;"&amp;DATE(2017,12,31)))/COUNTIFS('DATA INPUT'!$B$3:$B$3000,'Report Tables'!AX$1,'DATA INPUT'!$A$3:$A$3000,"&gt;="&amp;DATE(2017,12,1),'DATA INPUT'!$A$3:$A$3000,"&lt;"&amp;DATE(2017,12,31)),#N/A),IFERROR((SUMIFS('DATA INPUT'!$C$3:$C$3000,'DATA INPUT'!$B$3:$B$3000,'Report Tables'!AX$1,'DATA INPUT'!$A$3:$A$3000,"&gt;="&amp;DATE(2017,12,1),'DATA INPUT'!$A$3:$A$3000,"&lt;"&amp;DATE(2017,12,31),'DATA INPUT'!$F$3:$F$3000,"&lt;&gt;*Exclude*"))/(COUNTIFS('DATA INPUT'!$B$3:$B$3000,'Report Tables'!AX$1,'DATA INPUT'!$A$3:$A$3000,"&gt;="&amp;DATE(2017,12,1),'DATA INPUT'!$A$3:$A$3000,"&lt;"&amp;DATE(2017,12,31),'DATA INPUT'!$F$3:$F$3000,"&lt;&gt;*Exclude*")),#N/A))</f>
        <v>#N/A</v>
      </c>
    </row>
    <row r="15" spans="1:52" x14ac:dyDescent="0.3">
      <c r="B15" s="56"/>
      <c r="N15" s="110"/>
      <c r="P15" s="223"/>
      <c r="Q15" s="223"/>
      <c r="R15" s="223"/>
      <c r="S15" s="182"/>
      <c r="T15" s="182"/>
      <c r="U15" s="182"/>
      <c r="V15" s="182"/>
      <c r="W15" s="182"/>
      <c r="X15" s="182"/>
      <c r="Y15" s="149">
        <v>2018</v>
      </c>
      <c r="Z15" s="149" t="s">
        <v>12</v>
      </c>
      <c r="AA15" s="136" t="e">
        <f>IF($L$2="Yes",IF(SUMIFS('DATA INPUT'!$E$3:$E$3000,'DATA INPUT'!$B$3:$B$3000,'Report Tables'!AA$1,'DATA INPUT'!$A$3:$A$3000,"&gt;="&amp;DATE(2018,1,1),'DATA INPUT'!$A$3:$A$3000,"&lt;"&amp;DATE(2018,1,31))=0,#N/A,(SUMIFS('DATA INPUT'!$E$3:$E$3000,'DATA INPUT'!$B$3:$B$3000,'Report Tables'!AA$1,'DATA INPUT'!$A$3:$A$3000,"&gt;="&amp;DATE(2018,1,1),'DATA INPUT'!$A$3:$A$3000,"&lt;"&amp;DATE(2018,1,31)))),IF(SUMIFS('DATA INPUT'!$E$3:$E$3000,'DATA INPUT'!$B$3:$B$3000,'Report Tables'!AA$1,'DATA INPUT'!$A$3:$A$3000,"&gt;="&amp;DATE(2018,1,1),'DATA INPUT'!$A$3:$A$3000,"&lt;"&amp;DATE(2018,1,31),'DATA INPUT'!$F$3:$F$3000,"&lt;&gt;*Exclude*")=0,#N/A,(SUMIFS('DATA INPUT'!$E$3:$E$3000,'DATA INPUT'!$B$3:$B$3000,'Report Tables'!AA$1,'DATA INPUT'!$A$3:$A$3000,"&gt;="&amp;DATE(2018,1,1),'DATA INPUT'!$A$3:$A$3000,"&lt;"&amp;DATE(2018,1,31),'DATA INPUT'!$F$3:$F$3000,"&lt;&gt;*Exclude*"))))</f>
        <v>#N/A</v>
      </c>
      <c r="AB15" s="136" t="e">
        <f>IF($L$2="Yes",IF(SUMIFS('DATA INPUT'!$E$3:$E$3000,'DATA INPUT'!$B$3:$B$3000,'Report Tables'!AB$1,'DATA INPUT'!$A$3:$A$3000,"&gt;="&amp;DATE(2018,1,1),'DATA INPUT'!$A$3:$A$3000,"&lt;"&amp;DATE(2018,1,31))=0,#N/A,(SUMIFS('DATA INPUT'!$E$3:$E$3000,'DATA INPUT'!$B$3:$B$3000,'Report Tables'!AB$1,'DATA INPUT'!$A$3:$A$3000,"&gt;="&amp;DATE(2018,1,1),'DATA INPUT'!$A$3:$A$3000,"&lt;"&amp;DATE(2018,1,31)))),IF(SUMIFS('DATA INPUT'!$E$3:$E$3000,'DATA INPUT'!$B$3:$B$3000,'Report Tables'!AB$1,'DATA INPUT'!$A$3:$A$3000,"&gt;="&amp;DATE(2018,1,1),'DATA INPUT'!$A$3:$A$3000,"&lt;"&amp;DATE(2018,1,31),'DATA INPUT'!$F$3:$F$3000,"&lt;&gt;*Exclude*")=0,#N/A,(SUMIFS('DATA INPUT'!$E$3:$E$3000,'DATA INPUT'!$B$3:$B$3000,'Report Tables'!AB$1,'DATA INPUT'!$A$3:$A$3000,"&gt;="&amp;DATE(2018,1,1),'DATA INPUT'!$A$3:$A$3000,"&lt;"&amp;DATE(2018,1,31),'DATA INPUT'!$F$3:$F$3000,"&lt;&gt;*Exclude*"))))</f>
        <v>#N/A</v>
      </c>
      <c r="AC15" s="136" t="e">
        <f>IF($L$2="Yes",IF(SUMIFS('DATA INPUT'!$E$3:$E$3000,'DATA INPUT'!$B$3:$B$3000,'Report Tables'!AC$1,'DATA INPUT'!$A$3:$A$3000,"&gt;="&amp;DATE(2018,1,1),'DATA INPUT'!$A$3:$A$3000,"&lt;"&amp;DATE(2018,1,31))=0,#N/A,(SUMIFS('DATA INPUT'!$E$3:$E$3000,'DATA INPUT'!$B$3:$B$3000,'Report Tables'!AC$1,'DATA INPUT'!$A$3:$A$3000,"&gt;="&amp;DATE(2018,1,1),'DATA INPUT'!$A$3:$A$3000,"&lt;"&amp;DATE(2018,1,31)))),IF(SUMIFS('DATA INPUT'!$E$3:$E$3000,'DATA INPUT'!$B$3:$B$3000,'Report Tables'!AC$1,'DATA INPUT'!$A$3:$A$3000,"&gt;="&amp;DATE(2018,1,1),'DATA INPUT'!$A$3:$A$3000,"&lt;"&amp;DATE(2018,1,31),'DATA INPUT'!$F$3:$F$3000,"&lt;&gt;*Exclude*")=0,#N/A,(SUMIFS('DATA INPUT'!$E$3:$E$3000,'DATA INPUT'!$B$3:$B$3000,'Report Tables'!AC$1,'DATA INPUT'!$A$3:$A$3000,"&gt;="&amp;DATE(2018,1,1),'DATA INPUT'!$A$3:$A$3000,"&lt;"&amp;DATE(2018,1,31),'DATA INPUT'!$F$3:$F$3000,"&lt;&gt;*Exclude*"))))</f>
        <v>#N/A</v>
      </c>
      <c r="AD15" s="136" t="e">
        <f>IF($L$2="Yes",IF(SUMIFS('DATA INPUT'!$E$3:$E$3000,'DATA INPUT'!$B$3:$B$3000,'Report Tables'!AD$1,'DATA INPUT'!$A$3:$A$3000,"&gt;="&amp;DATE(2018,1,1),'DATA INPUT'!$A$3:$A$3000,"&lt;"&amp;DATE(2018,1,31))=0,#N/A,(SUMIFS('DATA INPUT'!$E$3:$E$3000,'DATA INPUT'!$B$3:$B$3000,'Report Tables'!AD$1,'DATA INPUT'!$A$3:$A$3000,"&gt;="&amp;DATE(2018,1,1),'DATA INPUT'!$A$3:$A$3000,"&lt;"&amp;DATE(2018,1,31)))),IF(SUMIFS('DATA INPUT'!$E$3:$E$3000,'DATA INPUT'!$B$3:$B$3000,'Report Tables'!AD$1,'DATA INPUT'!$A$3:$A$3000,"&gt;="&amp;DATE(2018,1,1),'DATA INPUT'!$A$3:$A$3000,"&lt;"&amp;DATE(2018,1,31),'DATA INPUT'!$F$3:$F$3000,"&lt;&gt;*Exclude*")=0,#N/A,(SUMIFS('DATA INPUT'!$E$3:$E$3000,'DATA INPUT'!$B$3:$B$3000,'Report Tables'!AD$1,'DATA INPUT'!$A$3:$A$3000,"&gt;="&amp;DATE(2018,1,1),'DATA INPUT'!$A$3:$A$3000,"&lt;"&amp;DATE(2018,1,31),'DATA INPUT'!$F$3:$F$3000,"&lt;&gt;*Exclude*"))))</f>
        <v>#N/A</v>
      </c>
      <c r="AE15" s="136" t="e">
        <f>IF($L$2="Yes",IF(SUMIFS('DATA INPUT'!$E$3:$E$3000,'DATA INPUT'!$B$3:$B$3000,'Report Tables'!AE$1,'DATA INPUT'!$A$3:$A$3000,"&gt;="&amp;DATE(2018,1,1),'DATA INPUT'!$A$3:$A$3000,"&lt;"&amp;DATE(2018,1,31))=0,#N/A,(SUMIFS('DATA INPUT'!$E$3:$E$3000,'DATA INPUT'!$B$3:$B$3000,'Report Tables'!AE$1,'DATA INPUT'!$A$3:$A$3000,"&gt;="&amp;DATE(2018,1,1),'DATA INPUT'!$A$3:$A$3000,"&lt;"&amp;DATE(2018,1,31)))),IF(SUMIFS('DATA INPUT'!$E$3:$E$3000,'DATA INPUT'!$B$3:$B$3000,'Report Tables'!AE$1,'DATA INPUT'!$A$3:$A$3000,"&gt;="&amp;DATE(2018,1,1),'DATA INPUT'!$A$3:$A$3000,"&lt;"&amp;DATE(2018,1,31),'DATA INPUT'!$F$3:$F$3000,"&lt;&gt;*Exclude*")=0,#N/A,(SUMIFS('DATA INPUT'!$E$3:$E$3000,'DATA INPUT'!$B$3:$B$3000,'Report Tables'!AE$1,'DATA INPUT'!$A$3:$A$3000,"&gt;="&amp;DATE(2018,1,1),'DATA INPUT'!$A$3:$A$3000,"&lt;"&amp;DATE(2018,1,31),'DATA INPUT'!$F$3:$F$3000,"&lt;&gt;*Exclude*"))))</f>
        <v>#N/A</v>
      </c>
      <c r="AF15" s="136" t="e">
        <f>IF($L$2="Yes",IF(SUMIFS('DATA INPUT'!$E$3:$E$3000,'DATA INPUT'!$B$3:$B$3000,'Report Tables'!AF$1,'DATA INPUT'!$A$3:$A$3000,"&gt;="&amp;DATE(2018,1,1),'DATA INPUT'!$A$3:$A$3000,"&lt;"&amp;DATE(2018,1,31))=0,#N/A,(SUMIFS('DATA INPUT'!$E$3:$E$3000,'DATA INPUT'!$B$3:$B$3000,'Report Tables'!AF$1,'DATA INPUT'!$A$3:$A$3000,"&gt;="&amp;DATE(2018,1,1),'DATA INPUT'!$A$3:$A$3000,"&lt;"&amp;DATE(2018,1,31)))),IF(SUMIFS('DATA INPUT'!$E$3:$E$3000,'DATA INPUT'!$B$3:$B$3000,'Report Tables'!AF$1,'DATA INPUT'!$A$3:$A$3000,"&gt;="&amp;DATE(2018,1,1),'DATA INPUT'!$A$3:$A$3000,"&lt;"&amp;DATE(2018,1,31),'DATA INPUT'!$F$3:$F$3000,"&lt;&gt;*Exclude*")=0,#N/A,(SUMIFS('DATA INPUT'!$E$3:$E$3000,'DATA INPUT'!$B$3:$B$3000,'Report Tables'!AF$1,'DATA INPUT'!$A$3:$A$3000,"&gt;="&amp;DATE(2018,1,1),'DATA INPUT'!$A$3:$A$3000,"&lt;"&amp;DATE(2018,1,31),'DATA INPUT'!$F$3:$F$3000,"&lt;&gt;*Exclude*"))))</f>
        <v>#N/A</v>
      </c>
      <c r="AG15" s="136" t="e">
        <f>IF($L$2="Yes",IF(SUMIFS('DATA INPUT'!$E$3:$E$3000,'DATA INPUT'!$B$3:$B$3000,'Report Tables'!AG$1,'DATA INPUT'!$A$3:$A$3000,"&gt;="&amp;DATE(2018,1,1),'DATA INPUT'!$A$3:$A$3000,"&lt;"&amp;DATE(2018,1,31))=0,#N/A,(SUMIFS('DATA INPUT'!$E$3:$E$3000,'DATA INPUT'!$B$3:$B$3000,'Report Tables'!AG$1,'DATA INPUT'!$A$3:$A$3000,"&gt;="&amp;DATE(2018,1,1),'DATA INPUT'!$A$3:$A$3000,"&lt;"&amp;DATE(2018,1,31)))),IF(SUMIFS('DATA INPUT'!$E$3:$E$3000,'DATA INPUT'!$B$3:$B$3000,'Report Tables'!AG$1,'DATA INPUT'!$A$3:$A$3000,"&gt;="&amp;DATE(2018,1,1),'DATA INPUT'!$A$3:$A$3000,"&lt;"&amp;DATE(2018,1,31),'DATA INPUT'!$F$3:$F$3000,"&lt;&gt;*Exclude*")=0,#N/A,(SUMIFS('DATA INPUT'!$E$3:$E$3000,'DATA INPUT'!$B$3:$B$3000,'Report Tables'!AG$1,'DATA INPUT'!$A$3:$A$3000,"&gt;="&amp;DATE(2018,1,1),'DATA INPUT'!$A$3:$A$3000,"&lt;"&amp;DATE(2018,1,31),'DATA INPUT'!$F$3:$F$3000,"&lt;&gt;*Exclude*"))))</f>
        <v>#N/A</v>
      </c>
      <c r="AH15" s="136" t="e">
        <f>IF($L$2="Yes",IF(SUMIFS('DATA INPUT'!$E$3:$E$3000,'DATA INPUT'!$B$3:$B$3000,'Report Tables'!AH$1,'DATA INPUT'!$A$3:$A$3000,"&gt;="&amp;DATE(2018,1,1),'DATA INPUT'!$A$3:$A$3000,"&lt;"&amp;DATE(2018,1,31))=0,#N/A,(SUMIFS('DATA INPUT'!$E$3:$E$3000,'DATA INPUT'!$B$3:$B$3000,'Report Tables'!AH$1,'DATA INPUT'!$A$3:$A$3000,"&gt;="&amp;DATE(2018,1,1),'DATA INPUT'!$A$3:$A$3000,"&lt;"&amp;DATE(2018,1,31)))),IF(SUMIFS('DATA INPUT'!$E$3:$E$3000,'DATA INPUT'!$B$3:$B$3000,'Report Tables'!AH$1,'DATA INPUT'!$A$3:$A$3000,"&gt;="&amp;DATE(2018,1,1),'DATA INPUT'!$A$3:$A$3000,"&lt;"&amp;DATE(2018,1,31),'DATA INPUT'!$F$3:$F$3000,"&lt;&gt;*Exclude*")=0,#N/A,(SUMIFS('DATA INPUT'!$E$3:$E$3000,'DATA INPUT'!$B$3:$B$3000,'Report Tables'!AH$1,'DATA INPUT'!$A$3:$A$3000,"&gt;="&amp;DATE(2018,1,1),'DATA INPUT'!$A$3:$A$3000,"&lt;"&amp;DATE(2018,1,31),'DATA INPUT'!$F$3:$F$3000,"&lt;&gt;*Exclude*"))))</f>
        <v>#N/A</v>
      </c>
      <c r="AI15" s="136" t="e">
        <f t="shared" si="0"/>
        <v>#N/A</v>
      </c>
      <c r="AJ15" s="136" t="e">
        <f>IF($L$2="Yes",IF(SUMIFS('DATA INPUT'!$D$3:$D$3000,'DATA INPUT'!$A$3:$A$3000,"&gt;="&amp;DATE(2018,1,1),'DATA INPUT'!$A$3:$A$3000,"&lt;"&amp;DATE(2018,1,31),'DATA INPUT'!$G$3:$G$3000,"&lt;&gt;*School service*")=0,#N/A,(SUMIFS('DATA INPUT'!$D$3:$D$3000,'DATA INPUT'!$A$3:$A$3000,"&gt;="&amp;DATE(2018,1,1),'DATA INPUT'!$A$3:$A$3000,"&lt;"&amp;DATE(2018,1,31),'DATA INPUT'!$G$3:$G$3000,"&lt;&gt;*School service*"))),IF(SUMIFS('DATA INPUT'!$D$3:$D$3000,'DATA INPUT'!$A$3:$A$3000,"&gt;="&amp;DATE(2018,1,1),'DATA INPUT'!$A$3:$A$3000,"&lt;"&amp;DATE(2018,1,31),'DATA INPUT'!$F$3:$F$3000,"&lt;&gt;*Exclude*",'DATA INPUT'!$G$3:$G$3000,"&lt;&gt;*School service*")=0,#N/A,(SUMIFS('DATA INPUT'!$D$3:$D$3000,'DATA INPUT'!$A$3:$A$3000,"&gt;="&amp;DATE(2018,1,1),'DATA INPUT'!$A$3:$A$3000,"&lt;"&amp;DATE(2018,1,31),'DATA INPUT'!$F$3:$F$3000,"&lt;&gt;*Exclude*",'DATA INPUT'!$G$3:$G$3000,"&lt;&gt;*School service*"))))</f>
        <v>#N/A</v>
      </c>
      <c r="AK15" s="136">
        <f>IF(ISNA(AI15),0,AI15)-IF(ISNA(AJ15),0,AJ15)</f>
        <v>0</v>
      </c>
      <c r="AM15" s="117" t="e">
        <f>IF($L$2="Yes",IFERROR((SUMIFS('DATA INPUT'!$E$3:$E$3000,'DATA INPUT'!$B$3:$B$3000,'Report Tables'!AM$1,'DATA INPUT'!$A$3:$A$3000,"&gt;="&amp;DATE(2018,1,1),'DATA INPUT'!$A$3:$A$3000,"&lt;"&amp;DATE(2018,1,31)))/COUNTIFS('DATA INPUT'!$B$3:$B$3000,'Report Tables'!AM$1,'DATA INPUT'!$A$3:$A$3000,"&gt;="&amp;DATE(2018,1,1),'DATA INPUT'!$A$3:$A$3000,"&lt;"&amp;DATE(2018,1,31)),#N/A),IFERROR((SUMIFS('DATA INPUT'!$E$3:$E$3000,'DATA INPUT'!$B$3:$B$3000,'Report Tables'!AM$1,'DATA INPUT'!$A$3:$A$3000,"&gt;="&amp;DATE(2018,1,1),'DATA INPUT'!$A$3:$A$3000,"&lt;"&amp;DATE(2018,1,31),'DATA INPUT'!$F$3:$F$3000,"&lt;&gt;*Exclude*"))/(COUNTIFS('DATA INPUT'!$B$3:$B$3000,'Report Tables'!AM$1,'DATA INPUT'!$A$3:$A$3000,"&gt;="&amp;DATE(2018,1,1),'DATA INPUT'!$A$3:$A$3000,"&lt;"&amp;DATE(2018,1,31),'DATA INPUT'!$F$3:$F$3000,"&lt;&gt;*Exclude*")),#N/A))</f>
        <v>#N/A</v>
      </c>
      <c r="AN15" s="117" t="e">
        <f>IF($L$2="Yes",IFERROR((SUMIFS('DATA INPUT'!$E$3:$E$3000,'DATA INPUT'!$B$3:$B$3000,'Report Tables'!AN$1,'DATA INPUT'!$A$3:$A$3000,"&gt;="&amp;DATE(2018,1,1),'DATA INPUT'!$A$3:$A$3000,"&lt;"&amp;DATE(2018,1,31)))/COUNTIFS('DATA INPUT'!$B$3:$B$3000,'Report Tables'!AN$1,'DATA INPUT'!$A$3:$A$3000,"&gt;="&amp;DATE(2018,1,1),'DATA INPUT'!$A$3:$A$3000,"&lt;"&amp;DATE(2018,1,31)),#N/A),IFERROR((SUMIFS('DATA INPUT'!$E$3:$E$3000,'DATA INPUT'!$B$3:$B$3000,'Report Tables'!AN$1,'DATA INPUT'!$A$3:$A$3000,"&gt;="&amp;DATE(2018,1,1),'DATA INPUT'!$A$3:$A$3000,"&lt;"&amp;DATE(2018,1,31),'DATA INPUT'!$F$3:$F$3000,"&lt;&gt;*Exclude*"))/(COUNTIFS('DATA INPUT'!$B$3:$B$3000,'Report Tables'!AN$1,'DATA INPUT'!$A$3:$A$3000,"&gt;="&amp;DATE(2018,1,1),'DATA INPUT'!$A$3:$A$3000,"&lt;"&amp;DATE(2018,1,31),'DATA INPUT'!$F$3:$F$3000,"&lt;&gt;*Exclude*")),#N/A))</f>
        <v>#N/A</v>
      </c>
      <c r="AO15" s="117" t="e">
        <f>IF($L$2="Yes",IFERROR((SUMIFS('DATA INPUT'!$E$3:$E$3000,'DATA INPUT'!$B$3:$B$3000,'Report Tables'!AO$1,'DATA INPUT'!$A$3:$A$3000,"&gt;="&amp;DATE(2018,1,1),'DATA INPUT'!$A$3:$A$3000,"&lt;"&amp;DATE(2018,1,31)))/COUNTIFS('DATA INPUT'!$B$3:$B$3000,'Report Tables'!AO$1,'DATA INPUT'!$A$3:$A$3000,"&gt;="&amp;DATE(2018,1,1),'DATA INPUT'!$A$3:$A$3000,"&lt;"&amp;DATE(2018,1,31)),#N/A),IFERROR((SUMIFS('DATA INPUT'!$E$3:$E$3000,'DATA INPUT'!$B$3:$B$3000,'Report Tables'!AO$1,'DATA INPUT'!$A$3:$A$3000,"&gt;="&amp;DATE(2018,1,1),'DATA INPUT'!$A$3:$A$3000,"&lt;"&amp;DATE(2018,1,31),'DATA INPUT'!$F$3:$F$3000,"&lt;&gt;*Exclude*"))/(COUNTIFS('DATA INPUT'!$B$3:$B$3000,'Report Tables'!AO$1,'DATA INPUT'!$A$3:$A$3000,"&gt;="&amp;DATE(2018,1,1),'DATA INPUT'!$A$3:$A$3000,"&lt;"&amp;DATE(2018,1,31),'DATA INPUT'!$F$3:$F$3000,"&lt;&gt;*Exclude*")),#N/A))</f>
        <v>#N/A</v>
      </c>
      <c r="AP15" s="117" t="e">
        <f>IF($L$2="Yes",IFERROR((SUMIFS('DATA INPUT'!$E$3:$E$3000,'DATA INPUT'!$B$3:$B$3000,'Report Tables'!AP$1,'DATA INPUT'!$A$3:$A$3000,"&gt;="&amp;DATE(2018,1,1),'DATA INPUT'!$A$3:$A$3000,"&lt;"&amp;DATE(2018,1,31)))/COUNTIFS('DATA INPUT'!$B$3:$B$3000,'Report Tables'!AP$1,'DATA INPUT'!$A$3:$A$3000,"&gt;="&amp;DATE(2018,1,1),'DATA INPUT'!$A$3:$A$3000,"&lt;"&amp;DATE(2018,1,31)),#N/A),IFERROR((SUMIFS('DATA INPUT'!$E$3:$E$3000,'DATA INPUT'!$B$3:$B$3000,'Report Tables'!AP$1,'DATA INPUT'!$A$3:$A$3000,"&gt;="&amp;DATE(2018,1,1),'DATA INPUT'!$A$3:$A$3000,"&lt;"&amp;DATE(2018,1,31),'DATA INPUT'!$F$3:$F$3000,"&lt;&gt;*Exclude*"))/(COUNTIFS('DATA INPUT'!$B$3:$B$3000,'Report Tables'!AP$1,'DATA INPUT'!$A$3:$A$3000,"&gt;="&amp;DATE(2018,1,1),'DATA INPUT'!$A$3:$A$3000,"&lt;"&amp;DATE(2018,1,31),'DATA INPUT'!$F$3:$F$3000,"&lt;&gt;*Exclude*")),#N/A))</f>
        <v>#N/A</v>
      </c>
      <c r="AQ15" s="117" t="e">
        <f>IF($L$2="Yes",IFERROR((SUMIFS('DATA INPUT'!$E$3:$E$3000,'DATA INPUT'!$B$3:$B$3000,'Report Tables'!AQ$1,'DATA INPUT'!$A$3:$A$3000,"&gt;="&amp;DATE(2018,1,1),'DATA INPUT'!$A$3:$A$3000,"&lt;"&amp;DATE(2018,1,31)))/COUNTIFS('DATA INPUT'!$B$3:$B$3000,'Report Tables'!AQ$1,'DATA INPUT'!$A$3:$A$3000,"&gt;="&amp;DATE(2018,1,1),'DATA INPUT'!$A$3:$A$3000,"&lt;"&amp;DATE(2018,1,31)),#N/A),IFERROR((SUMIFS('DATA INPUT'!$E$3:$E$3000,'DATA INPUT'!$B$3:$B$3000,'Report Tables'!AQ$1,'DATA INPUT'!$A$3:$A$3000,"&gt;="&amp;DATE(2018,1,1),'DATA INPUT'!$A$3:$A$3000,"&lt;"&amp;DATE(2018,1,31),'DATA INPUT'!$F$3:$F$3000,"&lt;&gt;*Exclude*"))/(COUNTIFS('DATA INPUT'!$B$3:$B$3000,'Report Tables'!AQ$1,'DATA INPUT'!$A$3:$A$3000,"&gt;="&amp;DATE(2018,1,1),'DATA INPUT'!$A$3:$A$3000,"&lt;"&amp;DATE(2018,1,31),'DATA INPUT'!$F$3:$F$3000,"&lt;&gt;*Exclude*")),#N/A))</f>
        <v>#N/A</v>
      </c>
      <c r="AR15" s="117" t="e">
        <f>IF($L$2="Yes",IFERROR((SUMIFS('DATA INPUT'!$E$3:$E$3000,'DATA INPUT'!$B$3:$B$3000,'Report Tables'!AR$1,'DATA INPUT'!$A$3:$A$3000,"&gt;="&amp;DATE(2018,1,1),'DATA INPUT'!$A$3:$A$3000,"&lt;"&amp;DATE(2018,1,31)))/COUNTIFS('DATA INPUT'!$B$3:$B$3000,'Report Tables'!AR$1,'DATA INPUT'!$A$3:$A$3000,"&gt;="&amp;DATE(2018,1,1),'DATA INPUT'!$A$3:$A$3000,"&lt;"&amp;DATE(2018,1,31)),#N/A),IFERROR((SUMIFS('DATA INPUT'!$E$3:$E$3000,'DATA INPUT'!$B$3:$B$3000,'Report Tables'!AR$1,'DATA INPUT'!$A$3:$A$3000,"&gt;="&amp;DATE(2018,1,1),'DATA INPUT'!$A$3:$A$3000,"&lt;"&amp;DATE(2018,1,31),'DATA INPUT'!$F$3:$F$3000,"&lt;&gt;*Exclude*"))/(COUNTIFS('DATA INPUT'!$B$3:$B$3000,'Report Tables'!AR$1,'DATA INPUT'!$A$3:$A$3000,"&gt;="&amp;DATE(2018,1,1),'DATA INPUT'!$A$3:$A$3000,"&lt;"&amp;DATE(2018,1,31),'DATA INPUT'!$F$3:$F$3000,"&lt;&gt;*Exclude*")),#N/A))</f>
        <v>#N/A</v>
      </c>
      <c r="AS15" s="117" t="e">
        <f>IF($L$2="Yes",IFERROR((SUMIFS('DATA INPUT'!$E$3:$E$3000,'DATA INPUT'!$B$3:$B$3000,'Report Tables'!AS$1,'DATA INPUT'!$A$3:$A$3000,"&gt;="&amp;DATE(2018,1,1),'DATA INPUT'!$A$3:$A$3000,"&lt;"&amp;DATE(2018,1,31)))/COUNTIFS('DATA INPUT'!$B$3:$B$3000,'Report Tables'!AS$1,'DATA INPUT'!$A$3:$A$3000,"&gt;="&amp;DATE(2018,1,1),'DATA INPUT'!$A$3:$A$3000,"&lt;"&amp;DATE(2018,1,31)),#N/A),IFERROR((SUMIFS('DATA INPUT'!$E$3:$E$3000,'DATA INPUT'!$B$3:$B$3000,'Report Tables'!AS$1,'DATA INPUT'!$A$3:$A$3000,"&gt;="&amp;DATE(2018,1,1),'DATA INPUT'!$A$3:$A$3000,"&lt;"&amp;DATE(2018,1,31),'DATA INPUT'!$F$3:$F$3000,"&lt;&gt;*Exclude*"))/(COUNTIFS('DATA INPUT'!$B$3:$B$3000,'Report Tables'!AS$1,'DATA INPUT'!$A$3:$A$3000,"&gt;="&amp;DATE(2018,1,1),'DATA INPUT'!$A$3:$A$3000,"&lt;"&amp;DATE(2018,1,31),'DATA INPUT'!$F$3:$F$3000,"&lt;&gt;*Exclude*")),#N/A))</f>
        <v>#N/A</v>
      </c>
      <c r="AT15" s="117" t="e">
        <f>IF($L$2="Yes",IFERROR((SUMIFS('DATA INPUT'!$E$3:$E$3000,'DATA INPUT'!$B$3:$B$3000,'Report Tables'!AT$1,'DATA INPUT'!$A$3:$A$3000,"&gt;="&amp;DATE(2018,1,1),'DATA INPUT'!$A$3:$A$3000,"&lt;"&amp;DATE(2018,1,31)))/COUNTIFS('DATA INPUT'!$B$3:$B$3000,'Report Tables'!AT$1,'DATA INPUT'!$A$3:$A$3000,"&gt;="&amp;DATE(2018,1,1),'DATA INPUT'!$A$3:$A$3000,"&lt;"&amp;DATE(2018,1,31)),#N/A),IFERROR((SUMIFS('DATA INPUT'!$E$3:$E$3000,'DATA INPUT'!$B$3:$B$3000,'Report Tables'!AT$1,'DATA INPUT'!$A$3:$A$3000,"&gt;="&amp;DATE(2018,1,1),'DATA INPUT'!$A$3:$A$3000,"&lt;"&amp;DATE(2018,1,31),'DATA INPUT'!$F$3:$F$3000,"&lt;&gt;*Exclude*"))/(COUNTIFS('DATA INPUT'!$B$3:$B$3000,'Report Tables'!AT$1,'DATA INPUT'!$A$3:$A$3000,"&gt;="&amp;DATE(2018,1,1),'DATA INPUT'!$A$3:$A$3000,"&lt;"&amp;DATE(2018,1,31),'DATA INPUT'!$F$3:$F$3000,"&lt;&gt;*Exclude*")),#N/A))</f>
        <v>#N/A</v>
      </c>
      <c r="AU15" s="117" t="e">
        <f t="shared" si="1"/>
        <v>#N/A</v>
      </c>
      <c r="AV15" s="117" t="e">
        <f>IF($L$2="Yes",IFERROR((SUMIFS('DATA INPUT'!$D$3:$D$3000,'DATA INPUT'!$A$3:$A$3000,"&gt;="&amp;DATE(2018,1,1),'DATA INPUT'!$A$3:$A$3000,"&lt;"&amp;DATE(2018,1,31),'DATA INPUT'!$G$3:$G$3000,"&lt;&gt;*School service*"))/COUNTIFS('DATA INPUT'!$A$3:$A$3000,"&gt;="&amp;DATE(2018,1,1),'DATA INPUT'!$A$3:$A$3000,"&lt;"&amp;DATE(2018,1,31),'DATA INPUT'!$G$3:$G$3000,"&lt;&gt;*School service*",'DATA INPUT'!$D$3:$D$3000,"&lt;&gt;"&amp;""),#N/A),IFERROR((SUMIFS('DATA INPUT'!$D$3:$D$3000,'DATA INPUT'!$A$3:$A$3000,"&gt;="&amp;DATE(2018,1,1),'DATA INPUT'!$A$3:$A$3000,"&lt;"&amp;DATE(2018,1,31),'DATA INPUT'!$F$3:$F$3000,"&lt;&gt;*Exclude*",'DATA INPUT'!$G$3:$G$3000,"&lt;&gt;*School service*"))/(COUNTIFS('DATA INPUT'!$A$3:$A$3000,"&gt;="&amp;DATE(2018,1,1),'DATA INPUT'!$A$3:$A$3000,"&lt;"&amp;DATE(2018,1,31),'DATA INPUT'!$F$3:$F$3000,"&lt;&gt;*Exclude*",'DATA INPUT'!$G$3:$G$3000,"&lt;&gt;*School service*",'DATA INPUT'!$D$3:$D$3000,"&lt;&gt;"&amp;"")),#N/A))</f>
        <v>#N/A</v>
      </c>
      <c r="AW15" s="117" t="e">
        <f t="shared" si="2"/>
        <v>#N/A</v>
      </c>
      <c r="AX15" s="117" t="e">
        <f>IF($L$2="Yes",IFERROR((SUMIFS('DATA INPUT'!$E$3:$E$3000,'DATA INPUT'!$B$3:$B$3000,'Report Tables'!AX$1,'DATA INPUT'!$A$3:$A$3000,"&gt;="&amp;DATE(2018,1,1),'DATA INPUT'!$A$3:$A$3000,"&lt;"&amp;DATE(2018,1,31)))/COUNTIFS('DATA INPUT'!$B$3:$B$3000,'Report Tables'!AX$1,'DATA INPUT'!$A$3:$A$3000,"&gt;="&amp;DATE(2018,1,1),'DATA INPUT'!$A$3:$A$3000,"&lt;"&amp;DATE(2018,1,31)),#N/A),IFERROR((SUMIFS('DATA INPUT'!$E$3:$E$3000,'DATA INPUT'!$B$3:$B$3000,'Report Tables'!AX$1,'DATA INPUT'!$A$3:$A$3000,"&gt;="&amp;DATE(2018,1,1),'DATA INPUT'!$A$3:$A$3000,"&lt;"&amp;DATE(2018,1,31),'DATA INPUT'!$F$3:$F$3000,"&lt;&gt;*Exclude*"))/(COUNTIFS('DATA INPUT'!$B$3:$B$3000,'Report Tables'!AX$1,'DATA INPUT'!$A$3:$A$3000,"&gt;="&amp;DATE(2018,1,1),'DATA INPUT'!$A$3:$A$3000,"&lt;"&amp;DATE(2018,1,31),'DATA INPUT'!$F$3:$F$3000,"&lt;&gt;*Exclude*")),#N/A))</f>
        <v>#N/A</v>
      </c>
      <c r="AY15" s="117" t="e">
        <f>IF($L$2="Yes",IFERROR((SUMIFS('DATA INPUT'!$D$3:$D$3000,'DATA INPUT'!$B$3:$B$3000,'Report Tables'!AX$1,'DATA INPUT'!$A$3:$A$3000,"&gt;="&amp;DATE(2018,1,1),'DATA INPUT'!$A$3:$A$3000,"&lt;"&amp;DATE(2018,1,31)))/COUNTIFS('DATA INPUT'!$B$3:$B$3000,'Report Tables'!AX$1,'DATA INPUT'!$A$3:$A$3000,"&gt;="&amp;DATE(2018,1,1),'DATA INPUT'!$A$3:$A$3000,"&lt;"&amp;DATE(2018,1,31)),#N/A),IFERROR((SUMIFS('DATA INPUT'!$D$3:$D$3000,'DATA INPUT'!$B$3:$B$3000,'Report Tables'!AX$1,'DATA INPUT'!$A$3:$A$3000,"&gt;="&amp;DATE(2018,1,1),'DATA INPUT'!$A$3:$A$3000,"&lt;"&amp;DATE(2018,1,31),'DATA INPUT'!$F$3:$F$3000,"&lt;&gt;*Exclude*"))/(COUNTIFS('DATA INPUT'!$B$3:$B$3000,'Report Tables'!AX$1,'DATA INPUT'!$A$3:$A$3000,"&gt;="&amp;DATE(2018,1,1),'DATA INPUT'!$A$3:$A$3000,"&lt;"&amp;DATE(2018,1,31),'DATA INPUT'!$F$3:$F$3000,"&lt;&gt;*Exclude*")),#N/A))</f>
        <v>#N/A</v>
      </c>
      <c r="AZ15" s="117" t="e">
        <f>IF($L$2="Yes",IFERROR((SUMIFS('DATA INPUT'!$C$3:$C$3000,'DATA INPUT'!$B$3:$B$3000,'Report Tables'!AX$1,'DATA INPUT'!$A$3:$A$3000,"&gt;="&amp;DATE(2018,1,1),'DATA INPUT'!$A$3:$A$3000,"&lt;"&amp;DATE(2018,1,31)))/COUNTIFS('DATA INPUT'!$B$3:$B$3000,'Report Tables'!AX$1,'DATA INPUT'!$A$3:$A$3000,"&gt;="&amp;DATE(2018,1,1),'DATA INPUT'!$A$3:$A$3000,"&lt;"&amp;DATE(2018,1,31)),#N/A),IFERROR((SUMIFS('DATA INPUT'!$C$3:$C$3000,'DATA INPUT'!$B$3:$B$3000,'Report Tables'!AX$1,'DATA INPUT'!$A$3:$A$3000,"&gt;="&amp;DATE(2018,1,1),'DATA INPUT'!$A$3:$A$3000,"&lt;"&amp;DATE(2018,1,31),'DATA INPUT'!$F$3:$F$3000,"&lt;&gt;*Exclude*"))/(COUNTIFS('DATA INPUT'!$B$3:$B$3000,'Report Tables'!AX$1,'DATA INPUT'!$A$3:$A$3000,"&gt;="&amp;DATE(2018,1,1),'DATA INPUT'!$A$3:$A$3000,"&lt;"&amp;DATE(2018,1,31),'DATA INPUT'!$F$3:$F$3000,"&lt;&gt;*Exclude*")),#N/A))</f>
        <v>#N/A</v>
      </c>
    </row>
    <row r="16" spans="1:52" ht="16.2" thickBot="1" x14ac:dyDescent="0.35">
      <c r="B16" s="62" t="s">
        <v>84</v>
      </c>
      <c r="C16" s="9">
        <v>2017</v>
      </c>
      <c r="D16" s="9">
        <v>2018</v>
      </c>
      <c r="E16" s="9">
        <v>2019</v>
      </c>
      <c r="F16" s="9">
        <v>2020</v>
      </c>
      <c r="G16" s="23">
        <v>2021</v>
      </c>
      <c r="H16" s="9">
        <v>2022</v>
      </c>
      <c r="I16" s="9">
        <v>2023</v>
      </c>
      <c r="J16" s="9">
        <v>2024</v>
      </c>
      <c r="K16" s="25">
        <v>2025</v>
      </c>
      <c r="L16" s="47" t="s">
        <v>2</v>
      </c>
      <c r="M16" s="25" t="s">
        <v>11</v>
      </c>
      <c r="N16" s="110"/>
      <c r="Y16" s="149"/>
      <c r="Z16" s="149" t="s">
        <v>13</v>
      </c>
      <c r="AA16" s="136" t="e">
        <f>IF($L$2="Yes",IF(SUMIFS('DATA INPUT'!$E$3:$E$3000,'DATA INPUT'!$B$3:$B$3000,'Report Tables'!AA$1,'DATA INPUT'!$A$3:$A$3000,"&gt;="&amp;DATE(2018,2,1),'DATA INPUT'!$A$3:$A$3000,"&lt;"&amp;DATE(2018,2,31))=0,#N/A,(SUMIFS('DATA INPUT'!$E$3:$E$3000,'DATA INPUT'!$B$3:$B$3000,'Report Tables'!AA$1,'DATA INPUT'!$A$3:$A$3000,"&gt;="&amp;DATE(2018,2,1),'DATA INPUT'!$A$3:$A$3000,"&lt;"&amp;DATE(2018,2,31)))),IF(SUMIFS('DATA INPUT'!$E$3:$E$3000,'DATA INPUT'!$B$3:$B$3000,'Report Tables'!AA$1,'DATA INPUT'!$A$3:$A$3000,"&gt;="&amp;DATE(2018,2,1),'DATA INPUT'!$A$3:$A$3000,"&lt;"&amp;DATE(2018,2,31),'DATA INPUT'!$F$3:$F$3000,"&lt;&gt;*Exclude*")=0,#N/A,(SUMIFS('DATA INPUT'!$E$3:$E$3000,'DATA INPUT'!$B$3:$B$3000,'Report Tables'!AA$1,'DATA INPUT'!$A$3:$A$3000,"&gt;="&amp;DATE(2018,2,1),'DATA INPUT'!$A$3:$A$3000,"&lt;"&amp;DATE(2018,2,31),'DATA INPUT'!$F$3:$F$3000,"&lt;&gt;*Exclude*"))))</f>
        <v>#N/A</v>
      </c>
      <c r="AB16" s="136" t="e">
        <f>IF($L$2="Yes",IF(SUMIFS('DATA INPUT'!$E$3:$E$3000,'DATA INPUT'!$B$3:$B$3000,'Report Tables'!AB$1,'DATA INPUT'!$A$3:$A$3000,"&gt;="&amp;DATE(2018,2,1),'DATA INPUT'!$A$3:$A$3000,"&lt;"&amp;DATE(2018,2,31))=0,#N/A,(SUMIFS('DATA INPUT'!$E$3:$E$3000,'DATA INPUT'!$B$3:$B$3000,'Report Tables'!AB$1,'DATA INPUT'!$A$3:$A$3000,"&gt;="&amp;DATE(2018,2,1),'DATA INPUT'!$A$3:$A$3000,"&lt;"&amp;DATE(2018,2,31)))),IF(SUMIFS('DATA INPUT'!$E$3:$E$3000,'DATA INPUT'!$B$3:$B$3000,'Report Tables'!AB$1,'DATA INPUT'!$A$3:$A$3000,"&gt;="&amp;DATE(2018,2,1),'DATA INPUT'!$A$3:$A$3000,"&lt;"&amp;DATE(2018,2,31),'DATA INPUT'!$F$3:$F$3000,"&lt;&gt;*Exclude*")=0,#N/A,(SUMIFS('DATA INPUT'!$E$3:$E$3000,'DATA INPUT'!$B$3:$B$3000,'Report Tables'!AB$1,'DATA INPUT'!$A$3:$A$3000,"&gt;="&amp;DATE(2018,2,1),'DATA INPUT'!$A$3:$A$3000,"&lt;"&amp;DATE(2018,2,31),'DATA INPUT'!$F$3:$F$3000,"&lt;&gt;*Exclude*"))))</f>
        <v>#N/A</v>
      </c>
      <c r="AC16" s="136" t="e">
        <f>IF($L$2="Yes",IF(SUMIFS('DATA INPUT'!$E$3:$E$3000,'DATA INPUT'!$B$3:$B$3000,'Report Tables'!AC$1,'DATA INPUT'!$A$3:$A$3000,"&gt;="&amp;DATE(2018,2,1),'DATA INPUT'!$A$3:$A$3000,"&lt;"&amp;DATE(2018,2,31))=0,#N/A,(SUMIFS('DATA INPUT'!$E$3:$E$3000,'DATA INPUT'!$B$3:$B$3000,'Report Tables'!AC$1,'DATA INPUT'!$A$3:$A$3000,"&gt;="&amp;DATE(2018,2,1),'DATA INPUT'!$A$3:$A$3000,"&lt;"&amp;DATE(2018,2,31)))),IF(SUMIFS('DATA INPUT'!$E$3:$E$3000,'DATA INPUT'!$B$3:$B$3000,'Report Tables'!AC$1,'DATA INPUT'!$A$3:$A$3000,"&gt;="&amp;DATE(2018,2,1),'DATA INPUT'!$A$3:$A$3000,"&lt;"&amp;DATE(2018,2,31),'DATA INPUT'!$F$3:$F$3000,"&lt;&gt;*Exclude*")=0,#N/A,(SUMIFS('DATA INPUT'!$E$3:$E$3000,'DATA INPUT'!$B$3:$B$3000,'Report Tables'!AC$1,'DATA INPUT'!$A$3:$A$3000,"&gt;="&amp;DATE(2018,2,1),'DATA INPUT'!$A$3:$A$3000,"&lt;"&amp;DATE(2018,2,31),'DATA INPUT'!$F$3:$F$3000,"&lt;&gt;*Exclude*"))))</f>
        <v>#N/A</v>
      </c>
      <c r="AD16" s="136" t="e">
        <f>IF($L$2="Yes",IF(SUMIFS('DATA INPUT'!$E$3:$E$3000,'DATA INPUT'!$B$3:$B$3000,'Report Tables'!AD$1,'DATA INPUT'!$A$3:$A$3000,"&gt;="&amp;DATE(2018,2,1),'DATA INPUT'!$A$3:$A$3000,"&lt;"&amp;DATE(2018,2,31))=0,#N/A,(SUMIFS('DATA INPUT'!$E$3:$E$3000,'DATA INPUT'!$B$3:$B$3000,'Report Tables'!AD$1,'DATA INPUT'!$A$3:$A$3000,"&gt;="&amp;DATE(2018,2,1),'DATA INPUT'!$A$3:$A$3000,"&lt;"&amp;DATE(2018,2,31)))),IF(SUMIFS('DATA INPUT'!$E$3:$E$3000,'DATA INPUT'!$B$3:$B$3000,'Report Tables'!AD$1,'DATA INPUT'!$A$3:$A$3000,"&gt;="&amp;DATE(2018,2,1),'DATA INPUT'!$A$3:$A$3000,"&lt;"&amp;DATE(2018,2,31),'DATA INPUT'!$F$3:$F$3000,"&lt;&gt;*Exclude*")=0,#N/A,(SUMIFS('DATA INPUT'!$E$3:$E$3000,'DATA INPUT'!$B$3:$B$3000,'Report Tables'!AD$1,'DATA INPUT'!$A$3:$A$3000,"&gt;="&amp;DATE(2018,2,1),'DATA INPUT'!$A$3:$A$3000,"&lt;"&amp;DATE(2018,2,31),'DATA INPUT'!$F$3:$F$3000,"&lt;&gt;*Exclude*"))))</f>
        <v>#N/A</v>
      </c>
      <c r="AE16" s="136" t="e">
        <f>IF($L$2="Yes",IF(SUMIFS('DATA INPUT'!$E$3:$E$3000,'DATA INPUT'!$B$3:$B$3000,'Report Tables'!AE$1,'DATA INPUT'!$A$3:$A$3000,"&gt;="&amp;DATE(2018,2,1),'DATA INPUT'!$A$3:$A$3000,"&lt;"&amp;DATE(2018,2,31))=0,#N/A,(SUMIFS('DATA INPUT'!$E$3:$E$3000,'DATA INPUT'!$B$3:$B$3000,'Report Tables'!AE$1,'DATA INPUT'!$A$3:$A$3000,"&gt;="&amp;DATE(2018,2,1),'DATA INPUT'!$A$3:$A$3000,"&lt;"&amp;DATE(2018,2,31)))),IF(SUMIFS('DATA INPUT'!$E$3:$E$3000,'DATA INPUT'!$B$3:$B$3000,'Report Tables'!AE$1,'DATA INPUT'!$A$3:$A$3000,"&gt;="&amp;DATE(2018,2,1),'DATA INPUT'!$A$3:$A$3000,"&lt;"&amp;DATE(2018,2,31),'DATA INPUT'!$F$3:$F$3000,"&lt;&gt;*Exclude*")=0,#N/A,(SUMIFS('DATA INPUT'!$E$3:$E$3000,'DATA INPUT'!$B$3:$B$3000,'Report Tables'!AE$1,'DATA INPUT'!$A$3:$A$3000,"&gt;="&amp;DATE(2018,2,1),'DATA INPUT'!$A$3:$A$3000,"&lt;"&amp;DATE(2018,2,31),'DATA INPUT'!$F$3:$F$3000,"&lt;&gt;*Exclude*"))))</f>
        <v>#N/A</v>
      </c>
      <c r="AF16" s="136" t="e">
        <f>IF($L$2="Yes",IF(SUMIFS('DATA INPUT'!$E$3:$E$3000,'DATA INPUT'!$B$3:$B$3000,'Report Tables'!AF$1,'DATA INPUT'!$A$3:$A$3000,"&gt;="&amp;DATE(2018,2,1),'DATA INPUT'!$A$3:$A$3000,"&lt;"&amp;DATE(2018,2,31))=0,#N/A,(SUMIFS('DATA INPUT'!$E$3:$E$3000,'DATA INPUT'!$B$3:$B$3000,'Report Tables'!AF$1,'DATA INPUT'!$A$3:$A$3000,"&gt;="&amp;DATE(2018,2,1),'DATA INPUT'!$A$3:$A$3000,"&lt;"&amp;DATE(2018,2,31)))),IF(SUMIFS('DATA INPUT'!$E$3:$E$3000,'DATA INPUT'!$B$3:$B$3000,'Report Tables'!AF$1,'DATA INPUT'!$A$3:$A$3000,"&gt;="&amp;DATE(2018,2,1),'DATA INPUT'!$A$3:$A$3000,"&lt;"&amp;DATE(2018,2,31),'DATA INPUT'!$F$3:$F$3000,"&lt;&gt;*Exclude*")=0,#N/A,(SUMIFS('DATA INPUT'!$E$3:$E$3000,'DATA INPUT'!$B$3:$B$3000,'Report Tables'!AF$1,'DATA INPUT'!$A$3:$A$3000,"&gt;="&amp;DATE(2018,2,1),'DATA INPUT'!$A$3:$A$3000,"&lt;"&amp;DATE(2018,2,31),'DATA INPUT'!$F$3:$F$3000,"&lt;&gt;*Exclude*"))))</f>
        <v>#N/A</v>
      </c>
      <c r="AG16" s="136" t="e">
        <f>IF($L$2="Yes",IF(SUMIFS('DATA INPUT'!$E$3:$E$3000,'DATA INPUT'!$B$3:$B$3000,'Report Tables'!AG$1,'DATA INPUT'!$A$3:$A$3000,"&gt;="&amp;DATE(2018,2,1),'DATA INPUT'!$A$3:$A$3000,"&lt;"&amp;DATE(2018,2,31))=0,#N/A,(SUMIFS('DATA INPUT'!$E$3:$E$3000,'DATA INPUT'!$B$3:$B$3000,'Report Tables'!AG$1,'DATA INPUT'!$A$3:$A$3000,"&gt;="&amp;DATE(2018,2,1),'DATA INPUT'!$A$3:$A$3000,"&lt;"&amp;DATE(2018,2,31)))),IF(SUMIFS('DATA INPUT'!$E$3:$E$3000,'DATA INPUT'!$B$3:$B$3000,'Report Tables'!AG$1,'DATA INPUT'!$A$3:$A$3000,"&gt;="&amp;DATE(2018,2,1),'DATA INPUT'!$A$3:$A$3000,"&lt;"&amp;DATE(2018,2,31),'DATA INPUT'!$F$3:$F$3000,"&lt;&gt;*Exclude*")=0,#N/A,(SUMIFS('DATA INPUT'!$E$3:$E$3000,'DATA INPUT'!$B$3:$B$3000,'Report Tables'!AG$1,'DATA INPUT'!$A$3:$A$3000,"&gt;="&amp;DATE(2018,2,1),'DATA INPUT'!$A$3:$A$3000,"&lt;"&amp;DATE(2018,2,31),'DATA INPUT'!$F$3:$F$3000,"&lt;&gt;*Exclude*"))))</f>
        <v>#N/A</v>
      </c>
      <c r="AH16" s="136" t="e">
        <f>IF($L$2="Yes",IF(SUMIFS('DATA INPUT'!$E$3:$E$3000,'DATA INPUT'!$B$3:$B$3000,'Report Tables'!AH$1,'DATA INPUT'!$A$3:$A$3000,"&gt;="&amp;DATE(2018,2,1),'DATA INPUT'!$A$3:$A$3000,"&lt;"&amp;DATE(2018,2,31))=0,#N/A,(SUMIFS('DATA INPUT'!$E$3:$E$3000,'DATA INPUT'!$B$3:$B$3000,'Report Tables'!AH$1,'DATA INPUT'!$A$3:$A$3000,"&gt;="&amp;DATE(2018,2,1),'DATA INPUT'!$A$3:$A$3000,"&lt;"&amp;DATE(2018,2,31)))),IF(SUMIFS('DATA INPUT'!$E$3:$E$3000,'DATA INPUT'!$B$3:$B$3000,'Report Tables'!AH$1,'DATA INPUT'!$A$3:$A$3000,"&gt;="&amp;DATE(2018,2,1),'DATA INPUT'!$A$3:$A$3000,"&lt;"&amp;DATE(2018,2,31),'DATA INPUT'!$F$3:$F$3000,"&lt;&gt;*Exclude*")=0,#N/A,(SUMIFS('DATA INPUT'!$E$3:$E$3000,'DATA INPUT'!$B$3:$B$3000,'Report Tables'!AH$1,'DATA INPUT'!$A$3:$A$3000,"&gt;="&amp;DATE(2018,2,1),'DATA INPUT'!$A$3:$A$3000,"&lt;"&amp;DATE(2018,2,31),'DATA INPUT'!$F$3:$F$3000,"&lt;&gt;*Exclude*"))))</f>
        <v>#N/A</v>
      </c>
      <c r="AI16" s="136" t="e">
        <f t="shared" si="0"/>
        <v>#N/A</v>
      </c>
      <c r="AJ16" s="136" t="e">
        <f>IF($L$2="Yes",IF(SUMIFS('DATA INPUT'!$D$3:$D$3000,'DATA INPUT'!$A$3:$A$3000,"&gt;="&amp;DATE(2018,2,1),'DATA INPUT'!$A$3:$A$3000,"&lt;"&amp;DATE(2018,2,31),'DATA INPUT'!$G$3:$G$3000,"&lt;&gt;*School service*")=0,#N/A,(SUMIFS('DATA INPUT'!$D$3:$D$3000,'DATA INPUT'!$A$3:$A$3000,"&gt;="&amp;DATE(2018,2,1),'DATA INPUT'!$A$3:$A$3000,"&lt;"&amp;DATE(2018,2,31),'DATA INPUT'!$G$3:$G$3000,"&lt;&gt;*School service*"))),IF(SUMIFS('DATA INPUT'!$D$3:$D$3000,'DATA INPUT'!$A$3:$A$3000,"&gt;="&amp;DATE(2018,2,1),'DATA INPUT'!$A$3:$A$3000,"&lt;"&amp;DATE(2018,2,31),'DATA INPUT'!$F$3:$F$3000,"&lt;&gt;*Exclude*",'DATA INPUT'!$G$3:$G$3000,"&lt;&gt;*School service*")=0,#N/A,(SUMIFS('DATA INPUT'!$D$3:$D$3000,'DATA INPUT'!$A$3:$A$3000,"&gt;="&amp;DATE(2018,2,1),'DATA INPUT'!$A$3:$A$3000,"&lt;"&amp;DATE(2018,2,31),'DATA INPUT'!$F$3:$F$3000,"&lt;&gt;*Exclude*",'DATA INPUT'!$G$3:$G$3000,"&lt;&gt;*School service*"))))</f>
        <v>#N/A</v>
      </c>
      <c r="AK16" s="136" t="e">
        <f>AI16-AJ16</f>
        <v>#N/A</v>
      </c>
      <c r="AM16" s="117" t="e">
        <f>IF($L$2="Yes",IFERROR((SUMIFS('DATA INPUT'!$E$3:$E$3000,'DATA INPUT'!$B$3:$B$3000,'Report Tables'!AM$1,'DATA INPUT'!$A$3:$A$3000,"&gt;="&amp;DATE(2018,2,1),'DATA INPUT'!$A$3:$A$3000,"&lt;"&amp;DATE(2018,2,31)))/COUNTIFS('DATA INPUT'!$B$3:$B$3000,'Report Tables'!AM$1,'DATA INPUT'!$A$3:$A$3000,"&gt;="&amp;DATE(2018,2,1),'DATA INPUT'!$A$3:$A$3000,"&lt;"&amp;DATE(2018,2,31)),#N/A),IFERROR((SUMIFS('DATA INPUT'!$E$3:$E$3000,'DATA INPUT'!$B$3:$B$3000,'Report Tables'!AM$1,'DATA INPUT'!$A$3:$A$3000,"&gt;="&amp;DATE(2018,2,1),'DATA INPUT'!$A$3:$A$3000,"&lt;"&amp;DATE(2018,2,31),'DATA INPUT'!$F$3:$F$3000,"&lt;&gt;*Exclude*"))/(COUNTIFS('DATA INPUT'!$B$3:$B$3000,'Report Tables'!AM$1,'DATA INPUT'!$A$3:$A$3000,"&gt;="&amp;DATE(2018,2,1),'DATA INPUT'!$A$3:$A$3000,"&lt;"&amp;DATE(2018,2,31),'DATA INPUT'!$F$3:$F$3000,"&lt;&gt;*Exclude*")),#N/A))</f>
        <v>#N/A</v>
      </c>
      <c r="AN16" s="117" t="e">
        <f>IF($L$2="Yes",IFERROR((SUMIFS('DATA INPUT'!$E$3:$E$3000,'DATA INPUT'!$B$3:$B$3000,'Report Tables'!AN$1,'DATA INPUT'!$A$3:$A$3000,"&gt;="&amp;DATE(2018,2,1),'DATA INPUT'!$A$3:$A$3000,"&lt;"&amp;DATE(2018,2,31)))/COUNTIFS('DATA INPUT'!$B$3:$B$3000,'Report Tables'!AN$1,'DATA INPUT'!$A$3:$A$3000,"&gt;="&amp;DATE(2018,2,1),'DATA INPUT'!$A$3:$A$3000,"&lt;"&amp;DATE(2018,2,31)),#N/A),IFERROR((SUMIFS('DATA INPUT'!$E$3:$E$3000,'DATA INPUT'!$B$3:$B$3000,'Report Tables'!AN$1,'DATA INPUT'!$A$3:$A$3000,"&gt;="&amp;DATE(2018,2,1),'DATA INPUT'!$A$3:$A$3000,"&lt;"&amp;DATE(2018,2,31),'DATA INPUT'!$F$3:$F$3000,"&lt;&gt;*Exclude*"))/(COUNTIFS('DATA INPUT'!$B$3:$B$3000,'Report Tables'!AN$1,'DATA INPUT'!$A$3:$A$3000,"&gt;="&amp;DATE(2018,2,1),'DATA INPUT'!$A$3:$A$3000,"&lt;"&amp;DATE(2018,2,31),'DATA INPUT'!$F$3:$F$3000,"&lt;&gt;*Exclude*")),#N/A))</f>
        <v>#N/A</v>
      </c>
      <c r="AO16" s="117" t="e">
        <f>IF($L$2="Yes",IFERROR((SUMIFS('DATA INPUT'!$E$3:$E$3000,'DATA INPUT'!$B$3:$B$3000,'Report Tables'!AO$1,'DATA INPUT'!$A$3:$A$3000,"&gt;="&amp;DATE(2018,2,1),'DATA INPUT'!$A$3:$A$3000,"&lt;"&amp;DATE(2018,2,31)))/COUNTIFS('DATA INPUT'!$B$3:$B$3000,'Report Tables'!AO$1,'DATA INPUT'!$A$3:$A$3000,"&gt;="&amp;DATE(2018,2,1),'DATA INPUT'!$A$3:$A$3000,"&lt;"&amp;DATE(2018,2,31)),#N/A),IFERROR((SUMIFS('DATA INPUT'!$E$3:$E$3000,'DATA INPUT'!$B$3:$B$3000,'Report Tables'!AO$1,'DATA INPUT'!$A$3:$A$3000,"&gt;="&amp;DATE(2018,2,1),'DATA INPUT'!$A$3:$A$3000,"&lt;"&amp;DATE(2018,2,31),'DATA INPUT'!$F$3:$F$3000,"&lt;&gt;*Exclude*"))/(COUNTIFS('DATA INPUT'!$B$3:$B$3000,'Report Tables'!AO$1,'DATA INPUT'!$A$3:$A$3000,"&gt;="&amp;DATE(2018,2,1),'DATA INPUT'!$A$3:$A$3000,"&lt;"&amp;DATE(2018,2,31),'DATA INPUT'!$F$3:$F$3000,"&lt;&gt;*Exclude*")),#N/A))</f>
        <v>#N/A</v>
      </c>
      <c r="AP16" s="117" t="e">
        <f>IF($L$2="Yes",IFERROR((SUMIFS('DATA INPUT'!$E$3:$E$3000,'DATA INPUT'!$B$3:$B$3000,'Report Tables'!AP$1,'DATA INPUT'!$A$3:$A$3000,"&gt;="&amp;DATE(2018,2,1),'DATA INPUT'!$A$3:$A$3000,"&lt;"&amp;DATE(2018,2,31)))/COUNTIFS('DATA INPUT'!$B$3:$B$3000,'Report Tables'!AP$1,'DATA INPUT'!$A$3:$A$3000,"&gt;="&amp;DATE(2018,2,1),'DATA INPUT'!$A$3:$A$3000,"&lt;"&amp;DATE(2018,2,31)),#N/A),IFERROR((SUMIFS('DATA INPUT'!$E$3:$E$3000,'DATA INPUT'!$B$3:$B$3000,'Report Tables'!AP$1,'DATA INPUT'!$A$3:$A$3000,"&gt;="&amp;DATE(2018,2,1),'DATA INPUT'!$A$3:$A$3000,"&lt;"&amp;DATE(2018,2,31),'DATA INPUT'!$F$3:$F$3000,"&lt;&gt;*Exclude*"))/(COUNTIFS('DATA INPUT'!$B$3:$B$3000,'Report Tables'!AP$1,'DATA INPUT'!$A$3:$A$3000,"&gt;="&amp;DATE(2018,2,1),'DATA INPUT'!$A$3:$A$3000,"&lt;"&amp;DATE(2018,2,31),'DATA INPUT'!$F$3:$F$3000,"&lt;&gt;*Exclude*")),#N/A))</f>
        <v>#N/A</v>
      </c>
      <c r="AQ16" s="117" t="e">
        <f>IF($L$2="Yes",IFERROR((SUMIFS('DATA INPUT'!$E$3:$E$3000,'DATA INPUT'!$B$3:$B$3000,'Report Tables'!AQ$1,'DATA INPUT'!$A$3:$A$3000,"&gt;="&amp;DATE(2018,2,1),'DATA INPUT'!$A$3:$A$3000,"&lt;"&amp;DATE(2018,2,31)))/COUNTIFS('DATA INPUT'!$B$3:$B$3000,'Report Tables'!AQ$1,'DATA INPUT'!$A$3:$A$3000,"&gt;="&amp;DATE(2018,2,1),'DATA INPUT'!$A$3:$A$3000,"&lt;"&amp;DATE(2018,2,31)),#N/A),IFERROR((SUMIFS('DATA INPUT'!$E$3:$E$3000,'DATA INPUT'!$B$3:$B$3000,'Report Tables'!AQ$1,'DATA INPUT'!$A$3:$A$3000,"&gt;="&amp;DATE(2018,2,1),'DATA INPUT'!$A$3:$A$3000,"&lt;"&amp;DATE(2018,2,31),'DATA INPUT'!$F$3:$F$3000,"&lt;&gt;*Exclude*"))/(COUNTIFS('DATA INPUT'!$B$3:$B$3000,'Report Tables'!AQ$1,'DATA INPUT'!$A$3:$A$3000,"&gt;="&amp;DATE(2018,2,1),'DATA INPUT'!$A$3:$A$3000,"&lt;"&amp;DATE(2018,2,31),'DATA INPUT'!$F$3:$F$3000,"&lt;&gt;*Exclude*")),#N/A))</f>
        <v>#N/A</v>
      </c>
      <c r="AR16" s="117" t="e">
        <f>IF($L$2="Yes",IFERROR((SUMIFS('DATA INPUT'!$E$3:$E$3000,'DATA INPUT'!$B$3:$B$3000,'Report Tables'!AR$1,'DATA INPUT'!$A$3:$A$3000,"&gt;="&amp;DATE(2018,2,1),'DATA INPUT'!$A$3:$A$3000,"&lt;"&amp;DATE(2018,2,31)))/COUNTIFS('DATA INPUT'!$B$3:$B$3000,'Report Tables'!AR$1,'DATA INPUT'!$A$3:$A$3000,"&gt;="&amp;DATE(2018,2,1),'DATA INPUT'!$A$3:$A$3000,"&lt;"&amp;DATE(2018,2,31)),#N/A),IFERROR((SUMIFS('DATA INPUT'!$E$3:$E$3000,'DATA INPUT'!$B$3:$B$3000,'Report Tables'!AR$1,'DATA INPUT'!$A$3:$A$3000,"&gt;="&amp;DATE(2018,2,1),'DATA INPUT'!$A$3:$A$3000,"&lt;"&amp;DATE(2018,2,31),'DATA INPUT'!$F$3:$F$3000,"&lt;&gt;*Exclude*"))/(COUNTIFS('DATA INPUT'!$B$3:$B$3000,'Report Tables'!AR$1,'DATA INPUT'!$A$3:$A$3000,"&gt;="&amp;DATE(2018,2,1),'DATA INPUT'!$A$3:$A$3000,"&lt;"&amp;DATE(2018,2,31),'DATA INPUT'!$F$3:$F$3000,"&lt;&gt;*Exclude*")),#N/A))</f>
        <v>#N/A</v>
      </c>
      <c r="AS16" s="117" t="e">
        <f>IF($L$2="Yes",IFERROR((SUMIFS('DATA INPUT'!$E$3:$E$3000,'DATA INPUT'!$B$3:$B$3000,'Report Tables'!AS$1,'DATA INPUT'!$A$3:$A$3000,"&gt;="&amp;DATE(2018,2,1),'DATA INPUT'!$A$3:$A$3000,"&lt;"&amp;DATE(2018,2,31)))/COUNTIFS('DATA INPUT'!$B$3:$B$3000,'Report Tables'!AS$1,'DATA INPUT'!$A$3:$A$3000,"&gt;="&amp;DATE(2018,2,1),'DATA INPUT'!$A$3:$A$3000,"&lt;"&amp;DATE(2018,2,31)),#N/A),IFERROR((SUMIFS('DATA INPUT'!$E$3:$E$3000,'DATA INPUT'!$B$3:$B$3000,'Report Tables'!AS$1,'DATA INPUT'!$A$3:$A$3000,"&gt;="&amp;DATE(2018,2,1),'DATA INPUT'!$A$3:$A$3000,"&lt;"&amp;DATE(2018,2,31),'DATA INPUT'!$F$3:$F$3000,"&lt;&gt;*Exclude*"))/(COUNTIFS('DATA INPUT'!$B$3:$B$3000,'Report Tables'!AS$1,'DATA INPUT'!$A$3:$A$3000,"&gt;="&amp;DATE(2018,2,1),'DATA INPUT'!$A$3:$A$3000,"&lt;"&amp;DATE(2018,2,31),'DATA INPUT'!$F$3:$F$3000,"&lt;&gt;*Exclude*")),#N/A))</f>
        <v>#N/A</v>
      </c>
      <c r="AT16" s="117" t="e">
        <f>IF($L$2="Yes",IFERROR((SUMIFS('DATA INPUT'!$E$3:$E$3000,'DATA INPUT'!$B$3:$B$3000,'Report Tables'!AT$1,'DATA INPUT'!$A$3:$A$3000,"&gt;="&amp;DATE(2018,2,1),'DATA INPUT'!$A$3:$A$3000,"&lt;"&amp;DATE(2018,2,31)))/COUNTIFS('DATA INPUT'!$B$3:$B$3000,'Report Tables'!AT$1,'DATA INPUT'!$A$3:$A$3000,"&gt;="&amp;DATE(2018,2,1),'DATA INPUT'!$A$3:$A$3000,"&lt;"&amp;DATE(2018,2,31)),#N/A),IFERROR((SUMIFS('DATA INPUT'!$E$3:$E$3000,'DATA INPUT'!$B$3:$B$3000,'Report Tables'!AT$1,'DATA INPUT'!$A$3:$A$3000,"&gt;="&amp;DATE(2018,2,1),'DATA INPUT'!$A$3:$A$3000,"&lt;"&amp;DATE(2018,2,31),'DATA INPUT'!$F$3:$F$3000,"&lt;&gt;*Exclude*"))/(COUNTIFS('DATA INPUT'!$B$3:$B$3000,'Report Tables'!AT$1,'DATA INPUT'!$A$3:$A$3000,"&gt;="&amp;DATE(2018,2,1),'DATA INPUT'!$A$3:$A$3000,"&lt;"&amp;DATE(2018,2,31),'DATA INPUT'!$F$3:$F$3000,"&lt;&gt;*Exclude*")),#N/A))</f>
        <v>#N/A</v>
      </c>
      <c r="AU16" s="117" t="e">
        <f t="shared" si="1"/>
        <v>#N/A</v>
      </c>
      <c r="AV16" s="117" t="e">
        <f>IF($L$2="Yes",IFERROR((SUMIFS('DATA INPUT'!$D$3:$D$3000,'DATA INPUT'!$A$3:$A$3000,"&gt;="&amp;DATE(2018,2,1),'DATA INPUT'!$A$3:$A$3000,"&lt;"&amp;DATE(2018,2,31),'DATA INPUT'!$G$3:$G$3000,"&lt;&gt;*School service*"))/COUNTIFS('DATA INPUT'!$A$3:$A$3000,"&gt;="&amp;DATE(2018,2,1),'DATA INPUT'!$A$3:$A$3000,"&lt;"&amp;DATE(2018,2,31),'DATA INPUT'!$G$3:$G$3000,"&lt;&gt;*School service*",'DATA INPUT'!$D$3:$D$3000,"&lt;&gt;"&amp;""),#N/A),IFERROR((SUMIFS('DATA INPUT'!$D$3:$D$3000,'DATA INPUT'!$A$3:$A$3000,"&gt;="&amp;DATE(2018,2,1),'DATA INPUT'!$A$3:$A$3000,"&lt;"&amp;DATE(2018,2,31),'DATA INPUT'!$F$3:$F$3000,"&lt;&gt;*Exclude*",'DATA INPUT'!$G$3:$G$3000,"&lt;&gt;*School service*"))/(COUNTIFS('DATA INPUT'!$A$3:$A$3000,"&gt;="&amp;DATE(2018,2,1),'DATA INPUT'!$A$3:$A$3000,"&lt;"&amp;DATE(2018,2,31),'DATA INPUT'!$F$3:$F$3000,"&lt;&gt;*Exclude*",'DATA INPUT'!$G$3:$G$3000,"&lt;&gt;*School service*",'DATA INPUT'!$D$3:$D$3000,"&lt;&gt;"&amp;"")),#N/A))</f>
        <v>#N/A</v>
      </c>
      <c r="AW16" s="117" t="e">
        <f t="shared" si="2"/>
        <v>#N/A</v>
      </c>
      <c r="AX16" s="117" t="e">
        <f>IF($L$2="Yes",IFERROR((SUMIFS('DATA INPUT'!$E$3:$E$3000,'DATA INPUT'!$B$3:$B$3000,'Report Tables'!AX$1,'DATA INPUT'!$A$3:$A$3000,"&gt;="&amp;DATE(2018,2,1),'DATA INPUT'!$A$3:$A$3000,"&lt;"&amp;DATE(2018,2,31)))/COUNTIFS('DATA INPUT'!$B$3:$B$3000,'Report Tables'!AX$1,'DATA INPUT'!$A$3:$A$3000,"&gt;="&amp;DATE(2018,2,1),'DATA INPUT'!$A$3:$A$3000,"&lt;"&amp;DATE(2018,2,31)),#N/A),IFERROR((SUMIFS('DATA INPUT'!$E$3:$E$3000,'DATA INPUT'!$B$3:$B$3000,'Report Tables'!AX$1,'DATA INPUT'!$A$3:$A$3000,"&gt;="&amp;DATE(2018,2,1),'DATA INPUT'!$A$3:$A$3000,"&lt;"&amp;DATE(2018,2,31),'DATA INPUT'!$F$3:$F$3000,"&lt;&gt;*Exclude*"))/(COUNTIFS('DATA INPUT'!$B$3:$B$3000,'Report Tables'!AX$1,'DATA INPUT'!$A$3:$A$3000,"&gt;="&amp;DATE(2018,2,1),'DATA INPUT'!$A$3:$A$3000,"&lt;"&amp;DATE(2018,2,31),'DATA INPUT'!$F$3:$F$3000,"&lt;&gt;*Exclude*")),#N/A))</f>
        <v>#N/A</v>
      </c>
      <c r="AY16" s="117" t="e">
        <f>IF($L$2="Yes",IFERROR((SUMIFS('DATA INPUT'!$D$3:$D$3000,'DATA INPUT'!$B$3:$B$3000,'Report Tables'!AX$1,'DATA INPUT'!$A$3:$A$3000,"&gt;="&amp;DATE(2018,2,1),'DATA INPUT'!$A$3:$A$3000,"&lt;"&amp;DATE(2018,2,31)))/COUNTIFS('DATA INPUT'!$B$3:$B$3000,'Report Tables'!AX$1,'DATA INPUT'!$A$3:$A$3000,"&gt;="&amp;DATE(2018,2,1),'DATA INPUT'!$A$3:$A$3000,"&lt;"&amp;DATE(2018,2,31)),#N/A),IFERROR((SUMIFS('DATA INPUT'!$D$3:$D$3000,'DATA INPUT'!$B$3:$B$3000,'Report Tables'!AX$1,'DATA INPUT'!$A$3:$A$3000,"&gt;="&amp;DATE(2018,2,1),'DATA INPUT'!$A$3:$A$3000,"&lt;"&amp;DATE(2018,2,31),'DATA INPUT'!$F$3:$F$3000,"&lt;&gt;*Exclude*"))/(COUNTIFS('DATA INPUT'!$B$3:$B$3000,'Report Tables'!AX$1,'DATA INPUT'!$A$3:$A$3000,"&gt;="&amp;DATE(2018,2,1),'DATA INPUT'!$A$3:$A$3000,"&lt;"&amp;DATE(2018,2,31),'DATA INPUT'!$F$3:$F$3000,"&lt;&gt;*Exclude*")),#N/A))</f>
        <v>#N/A</v>
      </c>
      <c r="AZ16" s="117" t="e">
        <f>IF($L$2="Yes",IFERROR((SUMIFS('DATA INPUT'!$C$3:$C$3000,'DATA INPUT'!$B$3:$B$3000,'Report Tables'!AX$1,'DATA INPUT'!$A$3:$A$3000,"&gt;="&amp;DATE(2018,2,1),'DATA INPUT'!$A$3:$A$3000,"&lt;"&amp;DATE(2018,2,31)))/COUNTIFS('DATA INPUT'!$B$3:$B$3000,'Report Tables'!AX$1,'DATA INPUT'!$A$3:$A$3000,"&gt;="&amp;DATE(2018,2,1),'DATA INPUT'!$A$3:$A$3000,"&lt;"&amp;DATE(2018,2,31)),#N/A),IFERROR((SUMIFS('DATA INPUT'!$C$3:$C$3000,'DATA INPUT'!$B$3:$B$3000,'Report Tables'!AX$1,'DATA INPUT'!$A$3:$A$3000,"&gt;="&amp;DATE(2018,2,1),'DATA INPUT'!$A$3:$A$3000,"&lt;"&amp;DATE(2018,2,31),'DATA INPUT'!$F$3:$F$3000,"&lt;&gt;*Exclude*"))/(COUNTIFS('DATA INPUT'!$B$3:$B$3000,'Report Tables'!AX$1,'DATA INPUT'!$A$3:$A$3000,"&gt;="&amp;DATE(2018,2,1),'DATA INPUT'!$A$3:$A$3000,"&lt;"&amp;DATE(2018,2,31),'DATA INPUT'!$F$3:$F$3000,"&lt;&gt;*Exclude*")),#N/A))</f>
        <v>#N/A</v>
      </c>
    </row>
    <row r="17" spans="1:52" x14ac:dyDescent="0.3">
      <c r="A17" s="95" t="e">
        <f>VLOOKUP(B17,Information!$C$8:$F$15,4,FALSE)</f>
        <v>#N/A</v>
      </c>
      <c r="B17" s="52">
        <f>$B$5</f>
        <v>0</v>
      </c>
      <c r="C17" s="59">
        <f>IF($L$2="Yes",IFERROR((SUMIFS('DATA INPUT'!$E$3:$E$3000,'DATA INPUT'!$A$3:$A$3000,"&gt;="&amp;DATE(2017,1,1),'DATA INPUT'!$A$3:$A$3000,"&lt;="&amp;DATE(2017,12,31),'DATA INPUT'!$B$3:$B$3000,$B17)),#N/A),IFERROR((SUMIFS('DATA INPUT'!$E$3:$E$3000,'DATA INPUT'!$A$3:$A$3000,"&gt;="&amp;DATE(2017,1,1),'DATA INPUT'!$A$3:$A$3000,"&lt;="&amp;DATE(2017,12,31),'DATA INPUT'!$B$3:$B$3000,$B17,'DATA INPUT'!$F$3:$F$3000,"&lt;&gt;*Exclude*")),#N/A))</f>
        <v>0</v>
      </c>
      <c r="D17" s="59">
        <f>IF($L$2="Yes",IFERROR((SUMIFS('DATA INPUT'!$E$3:$E$3000,'DATA INPUT'!$A$3:$A$3000,"&gt;="&amp;DATE(2018,1,1),'DATA INPUT'!$A$3:$A$3000,"&lt;="&amp;DATE(2018,12,31),'DATA INPUT'!$B$3:$B$3000,$B17)),#N/A),IFERROR((SUMIFS('DATA INPUT'!$E$3:$E$3000,'DATA INPUT'!$A$3:$A$3000,"&gt;="&amp;DATE(2018,1,1),'DATA INPUT'!$A$3:$A$3000,"&lt;="&amp;DATE(2018,12,31),'DATA INPUT'!$B$3:$B$3000,$B17,'DATA INPUT'!$F$3:$F$3000,"&lt;&gt;*Exclude*")),#N/A))</f>
        <v>0</v>
      </c>
      <c r="E17" s="59">
        <f>IF($L$2="Yes",IFERROR((SUMIFS('DATA INPUT'!$E$3:$E$3000,'DATA INPUT'!$A$3:$A$3000,"&gt;="&amp;DATE(2019,1,1),'DATA INPUT'!$A$3:$A$3000,"&lt;="&amp;DATE(2019,12,31),'DATA INPUT'!$B$3:$B$3000,$B17)),#N/A),IFERROR((SUMIFS('DATA INPUT'!$E$3:$E$3000,'DATA INPUT'!$A$3:$A$3000,"&gt;="&amp;DATE(2019,1,1),'DATA INPUT'!$A$3:$A$3000,"&lt;="&amp;DATE(2019,12,31),'DATA INPUT'!$B$3:$B$3000,$B17,'DATA INPUT'!$F$3:$F$3000,"&lt;&gt;*Exclude*")),#N/A))</f>
        <v>0</v>
      </c>
      <c r="F17" s="59">
        <f>IF($L$2="Yes",IFERROR((SUMIFS('DATA INPUT'!$E$3:$E$3000,'DATA INPUT'!$A$3:$A$3000,"&gt;="&amp;DATE(2020,1,1),'DATA INPUT'!$A$3:$A$3000,"&lt;="&amp;DATE(2020,12,31),'DATA INPUT'!$B$3:$B$3000,$B17)),#N/A),IFERROR((SUMIFS('DATA INPUT'!$E$3:$E$3000,'DATA INPUT'!$A$3:$A$3000,"&gt;="&amp;DATE(2020,1,1),'DATA INPUT'!$A$3:$A$3000,"&lt;="&amp;DATE(2020,12,31),'DATA INPUT'!$B$3:$B$3000,$B17,'DATA INPUT'!$F$3:$F$3000,"&lt;&gt;*Exclude*")),#N/A))</f>
        <v>0</v>
      </c>
      <c r="G17" s="59">
        <f>IF($L$2="Yes",IFERROR((SUMIFS('DATA INPUT'!$E$3:$E$3000,'DATA INPUT'!$A$3:$A$3000,"&gt;="&amp;DATE(2021,1,1),'DATA INPUT'!$A$3:$A$3000,"&lt;="&amp;DATE(2021,12,31),'DATA INPUT'!$B$3:$B$3000,$B17)),#N/A),IFERROR((SUMIFS('DATA INPUT'!$E$3:$E$3000,'DATA INPUT'!$A$3:$A$3000,"&gt;="&amp;DATE(2021,1,1),'DATA INPUT'!$A$3:$A$3000,"&lt;="&amp;DATE(2021,12,31),'DATA INPUT'!$B$3:$B$3000,$B17,'DATA INPUT'!$F$3:$F$3000,"&lt;&gt;*Exclude*")),#N/A))</f>
        <v>0</v>
      </c>
      <c r="H17" s="59">
        <f>IF($L$2="Yes",IFERROR((SUMIFS('DATA INPUT'!$E$3:$E$3000,'DATA INPUT'!$A$3:$A$3000,"&gt;="&amp;DATE(2022,1,1),'DATA INPUT'!$A$3:$A$3000,"&lt;="&amp;DATE(2022,12,31),'DATA INPUT'!$B$3:$B$3000,$B17)),#N/A),IFERROR((SUMIFS('DATA INPUT'!$E$3:$E$3000,'DATA INPUT'!$A$3:$A$3000,"&gt;="&amp;DATE(2022,1,1),'DATA INPUT'!$A$3:$A$3000,"&lt;="&amp;DATE(2022,12,31),'DATA INPUT'!$B$3:$B$3000,$B17,'DATA INPUT'!$F$3:$F$3000,"&lt;&gt;*Exclude*")),#N/A))</f>
        <v>0</v>
      </c>
      <c r="I17" s="59">
        <f>IF($L$2="Yes",IFERROR((SUMIFS('DATA INPUT'!$E$3:$E$3000,'DATA INPUT'!$A$3:$A$3000,"&gt;="&amp;DATE(2023,1,1),'DATA INPUT'!$A$3:$A$3000,"&lt;="&amp;DATE(2023,12,31),'DATA INPUT'!$B$3:$B$3000,$B17)),#N/A),IFERROR((SUMIFS('DATA INPUT'!$E$3:$E$3000,'DATA INPUT'!$A$3:$A$3000,"&gt;="&amp;DATE(2023,1,1),'DATA INPUT'!$A$3:$A$3000,"&lt;="&amp;DATE(2023,12,31),'DATA INPUT'!$B$3:$B$3000,$B17,'DATA INPUT'!$F$3:$F$3000,"&lt;&gt;*Exclude*")),#N/A))</f>
        <v>0</v>
      </c>
      <c r="J17" s="59">
        <f>IF($L$2="Yes",IFERROR((SUMIFS('DATA INPUT'!$E$3:$E$3000,'DATA INPUT'!$A$3:$A$3000,"&gt;="&amp;DATE(2024,1,1),'DATA INPUT'!$A$3:$A$3000,"&lt;="&amp;DATE(2024,12,31),'DATA INPUT'!$B$3:$B$3000,$B17)),#N/A),IFERROR((SUMIFS('DATA INPUT'!$E$3:$E$3000,'DATA INPUT'!$A$3:$A$3000,"&gt;="&amp;DATE(2024,1,1),'DATA INPUT'!$A$3:$A$3000,"&lt;="&amp;DATE(2024,12,31),'DATA INPUT'!$B$3:$B$3000,$B17,'DATA INPUT'!$F$3:$F$3000,"&lt;&gt;*Exclude*")),#N/A))</f>
        <v>0</v>
      </c>
      <c r="K17" s="59">
        <f>IF($L$2="Yes",IFERROR((SUMIFS('DATA INPUT'!$E$3:$E$3000,'DATA INPUT'!$A$3:$A$3000,"&gt;="&amp;DATE(2025,1,1),'DATA INPUT'!$A$3:$A$3000,"&lt;="&amp;DATE(2025,12,31),'DATA INPUT'!$B$3:$B$3000,$B17)),#N/A),IFERROR((SUMIFS('DATA INPUT'!$E$3:$E$3000,'DATA INPUT'!$A$3:$A$3000,"&gt;="&amp;DATE(2025,1,1),'DATA INPUT'!$A$3:$A$3000,"&lt;="&amp;DATE(2025,12,31),'DATA INPUT'!$B$3:$B$3000,$B17,'DATA INPUT'!$F$3:$F$3000,"&lt;&gt;*Exclude*")),#N/A))</f>
        <v>0</v>
      </c>
      <c r="L17" s="103">
        <f>SUMIFS(C17:K17,C17:K17,"&lt;&gt;#DIV/0!",C17:K17,"&lt;&gt;#n/a")</f>
        <v>0</v>
      </c>
      <c r="M17" s="105" t="str">
        <f>IFERROR(L17/(COUNTIF(C17:K17,"&gt;0")),"")</f>
        <v/>
      </c>
      <c r="Y17" s="149"/>
      <c r="Z17" s="149" t="s">
        <v>14</v>
      </c>
      <c r="AA17" s="136" t="e">
        <f>IF($L$2="Yes",IF(SUMIFS('DATA INPUT'!$E$3:$E$3000,'DATA INPUT'!$B$3:$B$3000,'Report Tables'!AA$1,'DATA INPUT'!$A$3:$A$3000,"&gt;="&amp;DATE(2018,3,1),'DATA INPUT'!$A$3:$A$3000,"&lt;"&amp;DATE(2018,3,31))=0,#N/A,(SUMIFS('DATA INPUT'!$E$3:$E$3000,'DATA INPUT'!$B$3:$B$3000,'Report Tables'!AA$1,'DATA INPUT'!$A$3:$A$3000,"&gt;="&amp;DATE(2018,3,1),'DATA INPUT'!$A$3:$A$3000,"&lt;"&amp;DATE(2018,3,31)))),IF(SUMIFS('DATA INPUT'!$E$3:$E$3000,'DATA INPUT'!$B$3:$B$3000,'Report Tables'!AA$1,'DATA INPUT'!$A$3:$A$3000,"&gt;="&amp;DATE(2018,3,1),'DATA INPUT'!$A$3:$A$3000,"&lt;"&amp;DATE(2018,3,31),'DATA INPUT'!$F$3:$F$3000,"&lt;&gt;*Exclude*")=0,#N/A,(SUMIFS('DATA INPUT'!$E$3:$E$3000,'DATA INPUT'!$B$3:$B$3000,'Report Tables'!AA$1,'DATA INPUT'!$A$3:$A$3000,"&gt;="&amp;DATE(2018,3,1),'DATA INPUT'!$A$3:$A$3000,"&lt;"&amp;DATE(2018,3,31),'DATA INPUT'!$F$3:$F$3000,"&lt;&gt;*Exclude*"))))</f>
        <v>#N/A</v>
      </c>
      <c r="AB17" s="136" t="e">
        <f>IF($L$2="Yes",IF(SUMIFS('DATA INPUT'!$E$3:$E$3000,'DATA INPUT'!$B$3:$B$3000,'Report Tables'!AB$1,'DATA INPUT'!$A$3:$A$3000,"&gt;="&amp;DATE(2018,3,1),'DATA INPUT'!$A$3:$A$3000,"&lt;"&amp;DATE(2018,3,31))=0,#N/A,(SUMIFS('DATA INPUT'!$E$3:$E$3000,'DATA INPUT'!$B$3:$B$3000,'Report Tables'!AB$1,'DATA INPUT'!$A$3:$A$3000,"&gt;="&amp;DATE(2018,3,1),'DATA INPUT'!$A$3:$A$3000,"&lt;"&amp;DATE(2018,3,31)))),IF(SUMIFS('DATA INPUT'!$E$3:$E$3000,'DATA INPUT'!$B$3:$B$3000,'Report Tables'!AB$1,'DATA INPUT'!$A$3:$A$3000,"&gt;="&amp;DATE(2018,3,1),'DATA INPUT'!$A$3:$A$3000,"&lt;"&amp;DATE(2018,3,31),'DATA INPUT'!$F$3:$F$3000,"&lt;&gt;*Exclude*")=0,#N/A,(SUMIFS('DATA INPUT'!$E$3:$E$3000,'DATA INPUT'!$B$3:$B$3000,'Report Tables'!AB$1,'DATA INPUT'!$A$3:$A$3000,"&gt;="&amp;DATE(2018,3,1),'DATA INPUT'!$A$3:$A$3000,"&lt;"&amp;DATE(2018,3,31),'DATA INPUT'!$F$3:$F$3000,"&lt;&gt;*Exclude*"))))</f>
        <v>#N/A</v>
      </c>
      <c r="AC17" s="136" t="e">
        <f>IF($L$2="Yes",IF(SUMIFS('DATA INPUT'!$E$3:$E$3000,'DATA INPUT'!$B$3:$B$3000,'Report Tables'!AC$1,'DATA INPUT'!$A$3:$A$3000,"&gt;="&amp;DATE(2018,3,1),'DATA INPUT'!$A$3:$A$3000,"&lt;"&amp;DATE(2018,3,31))=0,#N/A,(SUMIFS('DATA INPUT'!$E$3:$E$3000,'DATA INPUT'!$B$3:$B$3000,'Report Tables'!AC$1,'DATA INPUT'!$A$3:$A$3000,"&gt;="&amp;DATE(2018,3,1),'DATA INPUT'!$A$3:$A$3000,"&lt;"&amp;DATE(2018,3,31)))),IF(SUMIFS('DATA INPUT'!$E$3:$E$3000,'DATA INPUT'!$B$3:$B$3000,'Report Tables'!AC$1,'DATA INPUT'!$A$3:$A$3000,"&gt;="&amp;DATE(2018,3,1),'DATA INPUT'!$A$3:$A$3000,"&lt;"&amp;DATE(2018,3,31),'DATA INPUT'!$F$3:$F$3000,"&lt;&gt;*Exclude*")=0,#N/A,(SUMIFS('DATA INPUT'!$E$3:$E$3000,'DATA INPUT'!$B$3:$B$3000,'Report Tables'!AC$1,'DATA INPUT'!$A$3:$A$3000,"&gt;="&amp;DATE(2018,3,1),'DATA INPUT'!$A$3:$A$3000,"&lt;"&amp;DATE(2018,3,31),'DATA INPUT'!$F$3:$F$3000,"&lt;&gt;*Exclude*"))))</f>
        <v>#N/A</v>
      </c>
      <c r="AD17" s="136" t="e">
        <f>IF($L$2="Yes",IF(SUMIFS('DATA INPUT'!$E$3:$E$3000,'DATA INPUT'!$B$3:$B$3000,'Report Tables'!AD$1,'DATA INPUT'!$A$3:$A$3000,"&gt;="&amp;DATE(2018,3,1),'DATA INPUT'!$A$3:$A$3000,"&lt;"&amp;DATE(2018,3,31))=0,#N/A,(SUMIFS('DATA INPUT'!$E$3:$E$3000,'DATA INPUT'!$B$3:$B$3000,'Report Tables'!AD$1,'DATA INPUT'!$A$3:$A$3000,"&gt;="&amp;DATE(2018,3,1),'DATA INPUT'!$A$3:$A$3000,"&lt;"&amp;DATE(2018,3,31)))),IF(SUMIFS('DATA INPUT'!$E$3:$E$3000,'DATA INPUT'!$B$3:$B$3000,'Report Tables'!AD$1,'DATA INPUT'!$A$3:$A$3000,"&gt;="&amp;DATE(2018,3,1),'DATA INPUT'!$A$3:$A$3000,"&lt;"&amp;DATE(2018,3,31),'DATA INPUT'!$F$3:$F$3000,"&lt;&gt;*Exclude*")=0,#N/A,(SUMIFS('DATA INPUT'!$E$3:$E$3000,'DATA INPUT'!$B$3:$B$3000,'Report Tables'!AD$1,'DATA INPUT'!$A$3:$A$3000,"&gt;="&amp;DATE(2018,3,1),'DATA INPUT'!$A$3:$A$3000,"&lt;"&amp;DATE(2018,3,31),'DATA INPUT'!$F$3:$F$3000,"&lt;&gt;*Exclude*"))))</f>
        <v>#N/A</v>
      </c>
      <c r="AE17" s="136" t="e">
        <f>IF($L$2="Yes",IF(SUMIFS('DATA INPUT'!$E$3:$E$3000,'DATA INPUT'!$B$3:$B$3000,'Report Tables'!AE$1,'DATA INPUT'!$A$3:$A$3000,"&gt;="&amp;DATE(2018,3,1),'DATA INPUT'!$A$3:$A$3000,"&lt;"&amp;DATE(2018,3,31))=0,#N/A,(SUMIFS('DATA INPUT'!$E$3:$E$3000,'DATA INPUT'!$B$3:$B$3000,'Report Tables'!AE$1,'DATA INPUT'!$A$3:$A$3000,"&gt;="&amp;DATE(2018,3,1),'DATA INPUT'!$A$3:$A$3000,"&lt;"&amp;DATE(2018,3,31)))),IF(SUMIFS('DATA INPUT'!$E$3:$E$3000,'DATA INPUT'!$B$3:$B$3000,'Report Tables'!AE$1,'DATA INPUT'!$A$3:$A$3000,"&gt;="&amp;DATE(2018,3,1),'DATA INPUT'!$A$3:$A$3000,"&lt;"&amp;DATE(2018,3,31),'DATA INPUT'!$F$3:$F$3000,"&lt;&gt;*Exclude*")=0,#N/A,(SUMIFS('DATA INPUT'!$E$3:$E$3000,'DATA INPUT'!$B$3:$B$3000,'Report Tables'!AE$1,'DATA INPUT'!$A$3:$A$3000,"&gt;="&amp;DATE(2018,3,1),'DATA INPUT'!$A$3:$A$3000,"&lt;"&amp;DATE(2018,3,31),'DATA INPUT'!$F$3:$F$3000,"&lt;&gt;*Exclude*"))))</f>
        <v>#N/A</v>
      </c>
      <c r="AF17" s="136" t="e">
        <f>IF($L$2="Yes",IF(SUMIFS('DATA INPUT'!$E$3:$E$3000,'DATA INPUT'!$B$3:$B$3000,'Report Tables'!AF$1,'DATA INPUT'!$A$3:$A$3000,"&gt;="&amp;DATE(2018,3,1),'DATA INPUT'!$A$3:$A$3000,"&lt;"&amp;DATE(2018,3,31))=0,#N/A,(SUMIFS('DATA INPUT'!$E$3:$E$3000,'DATA INPUT'!$B$3:$B$3000,'Report Tables'!AF$1,'DATA INPUT'!$A$3:$A$3000,"&gt;="&amp;DATE(2018,3,1),'DATA INPUT'!$A$3:$A$3000,"&lt;"&amp;DATE(2018,3,31)))),IF(SUMIFS('DATA INPUT'!$E$3:$E$3000,'DATA INPUT'!$B$3:$B$3000,'Report Tables'!AF$1,'DATA INPUT'!$A$3:$A$3000,"&gt;="&amp;DATE(2018,3,1),'DATA INPUT'!$A$3:$A$3000,"&lt;"&amp;DATE(2018,3,31),'DATA INPUT'!$F$3:$F$3000,"&lt;&gt;*Exclude*")=0,#N/A,(SUMIFS('DATA INPUT'!$E$3:$E$3000,'DATA INPUT'!$B$3:$B$3000,'Report Tables'!AF$1,'DATA INPUT'!$A$3:$A$3000,"&gt;="&amp;DATE(2018,3,1),'DATA INPUT'!$A$3:$A$3000,"&lt;"&amp;DATE(2018,3,31),'DATA INPUT'!$F$3:$F$3000,"&lt;&gt;*Exclude*"))))</f>
        <v>#N/A</v>
      </c>
      <c r="AG17" s="136" t="e">
        <f>IF($L$2="Yes",IF(SUMIFS('DATA INPUT'!$E$3:$E$3000,'DATA INPUT'!$B$3:$B$3000,'Report Tables'!AG$1,'DATA INPUT'!$A$3:$A$3000,"&gt;="&amp;DATE(2018,3,1),'DATA INPUT'!$A$3:$A$3000,"&lt;"&amp;DATE(2018,3,31))=0,#N/A,(SUMIFS('DATA INPUT'!$E$3:$E$3000,'DATA INPUT'!$B$3:$B$3000,'Report Tables'!AG$1,'DATA INPUT'!$A$3:$A$3000,"&gt;="&amp;DATE(2018,3,1),'DATA INPUT'!$A$3:$A$3000,"&lt;"&amp;DATE(2018,3,31)))),IF(SUMIFS('DATA INPUT'!$E$3:$E$3000,'DATA INPUT'!$B$3:$B$3000,'Report Tables'!AG$1,'DATA INPUT'!$A$3:$A$3000,"&gt;="&amp;DATE(2018,3,1),'DATA INPUT'!$A$3:$A$3000,"&lt;"&amp;DATE(2018,3,31),'DATA INPUT'!$F$3:$F$3000,"&lt;&gt;*Exclude*")=0,#N/A,(SUMIFS('DATA INPUT'!$E$3:$E$3000,'DATA INPUT'!$B$3:$B$3000,'Report Tables'!AG$1,'DATA INPUT'!$A$3:$A$3000,"&gt;="&amp;DATE(2018,3,1),'DATA INPUT'!$A$3:$A$3000,"&lt;"&amp;DATE(2018,3,31),'DATA INPUT'!$F$3:$F$3000,"&lt;&gt;*Exclude*"))))</f>
        <v>#N/A</v>
      </c>
      <c r="AH17" s="136" t="e">
        <f>IF($L$2="Yes",IF(SUMIFS('DATA INPUT'!$E$3:$E$3000,'DATA INPUT'!$B$3:$B$3000,'Report Tables'!AH$1,'DATA INPUT'!$A$3:$A$3000,"&gt;="&amp;DATE(2018,3,1),'DATA INPUT'!$A$3:$A$3000,"&lt;"&amp;DATE(2018,3,31))=0,#N/A,(SUMIFS('DATA INPUT'!$E$3:$E$3000,'DATA INPUT'!$B$3:$B$3000,'Report Tables'!AH$1,'DATA INPUT'!$A$3:$A$3000,"&gt;="&amp;DATE(2018,3,1),'DATA INPUT'!$A$3:$A$3000,"&lt;"&amp;DATE(2018,3,31)))),IF(SUMIFS('DATA INPUT'!$E$3:$E$3000,'DATA INPUT'!$B$3:$B$3000,'Report Tables'!AH$1,'DATA INPUT'!$A$3:$A$3000,"&gt;="&amp;DATE(2018,3,1),'DATA INPUT'!$A$3:$A$3000,"&lt;"&amp;DATE(2018,3,31),'DATA INPUT'!$F$3:$F$3000,"&lt;&gt;*Exclude*")=0,#N/A,(SUMIFS('DATA INPUT'!$E$3:$E$3000,'DATA INPUT'!$B$3:$B$3000,'Report Tables'!AH$1,'DATA INPUT'!$A$3:$A$3000,"&gt;="&amp;DATE(2018,3,1),'DATA INPUT'!$A$3:$A$3000,"&lt;"&amp;DATE(2018,3,31),'DATA INPUT'!$F$3:$F$3000,"&lt;&gt;*Exclude*"))))</f>
        <v>#N/A</v>
      </c>
      <c r="AI17" s="136" t="e">
        <f t="shared" si="0"/>
        <v>#N/A</v>
      </c>
      <c r="AJ17" s="136" t="e">
        <f>IF($L$2="Yes",IF(SUMIFS('DATA INPUT'!$D$3:$D$3000,'DATA INPUT'!$A$3:$A$3000,"&gt;="&amp;DATE(2018,3,1),'DATA INPUT'!$A$3:$A$3000,"&lt;"&amp;DATE(2018,3,31),'DATA INPUT'!$G$3:$G$3000,"&lt;&gt;*School service*")=0,#N/A,(SUMIFS('DATA INPUT'!$D$3:$D$3000,'DATA INPUT'!$A$3:$A$3000,"&gt;="&amp;DATE(2018,3,1),'DATA INPUT'!$A$3:$A$3000,"&lt;"&amp;DATE(2018,3,31),'DATA INPUT'!$G$3:$G$3000,"&lt;&gt;*School service*"))),IF(SUMIFS('DATA INPUT'!$D$3:$D$3000,'DATA INPUT'!$A$3:$A$3000,"&gt;="&amp;DATE(2018,3,1),'DATA INPUT'!$A$3:$A$3000,"&lt;"&amp;DATE(2018,3,31),'DATA INPUT'!$F$3:$F$3000,"&lt;&gt;*Exclude*",'DATA INPUT'!$G$3:$G$3000,"&lt;&gt;*School service*")=0,#N/A,(SUMIFS('DATA INPUT'!$D$3:$D$3000,'DATA INPUT'!$A$3:$A$3000,"&gt;="&amp;DATE(2018,3,1),'DATA INPUT'!$A$3:$A$3000,"&lt;"&amp;DATE(2018,3,31),'DATA INPUT'!$F$3:$F$3000,"&lt;&gt;*Exclude*",'DATA INPUT'!$G$3:$G$3000,"&lt;&gt;*School service*"))))</f>
        <v>#N/A</v>
      </c>
      <c r="AK17" s="136" t="e">
        <f>AI17-AJ17</f>
        <v>#N/A</v>
      </c>
      <c r="AM17" s="117" t="e">
        <f>IF($L$2="Yes",IFERROR((SUMIFS('DATA INPUT'!$E$3:$E$3000,'DATA INPUT'!$B$3:$B$3000,'Report Tables'!AM$1,'DATA INPUT'!$A$3:$A$3000,"&gt;="&amp;DATE(2018,3,1),'DATA INPUT'!$A$3:$A$3000,"&lt;"&amp;DATE(2018,3,31)))/COUNTIFS('DATA INPUT'!$B$3:$B$3000,'Report Tables'!AM$1,'DATA INPUT'!$A$3:$A$3000,"&gt;="&amp;DATE(2018,3,1),'DATA INPUT'!$A$3:$A$3000,"&lt;"&amp;DATE(2018,3,31)),#N/A),IFERROR((SUMIFS('DATA INPUT'!$E$3:$E$3000,'DATA INPUT'!$B$3:$B$3000,'Report Tables'!AM$1,'DATA INPUT'!$A$3:$A$3000,"&gt;="&amp;DATE(2018,3,1),'DATA INPUT'!$A$3:$A$3000,"&lt;"&amp;DATE(2018,3,31),'DATA INPUT'!$F$3:$F$3000,"&lt;&gt;*Exclude*"))/(COUNTIFS('DATA INPUT'!$B$3:$B$3000,'Report Tables'!AM$1,'DATA INPUT'!$A$3:$A$3000,"&gt;="&amp;DATE(2018,3,1),'DATA INPUT'!$A$3:$A$3000,"&lt;"&amp;DATE(2018,3,31),'DATA INPUT'!$F$3:$F$3000,"&lt;&gt;*Exclude*")),#N/A))</f>
        <v>#N/A</v>
      </c>
      <c r="AN17" s="117" t="e">
        <f>IF($L$2="Yes",IFERROR((SUMIFS('DATA INPUT'!$E$3:$E$3000,'DATA INPUT'!$B$3:$B$3000,'Report Tables'!AN$1,'DATA INPUT'!$A$3:$A$3000,"&gt;="&amp;DATE(2018,3,1),'DATA INPUT'!$A$3:$A$3000,"&lt;"&amp;DATE(2018,3,31)))/COUNTIFS('DATA INPUT'!$B$3:$B$3000,'Report Tables'!AN$1,'DATA INPUT'!$A$3:$A$3000,"&gt;="&amp;DATE(2018,3,1),'DATA INPUT'!$A$3:$A$3000,"&lt;"&amp;DATE(2018,3,31)),#N/A),IFERROR((SUMIFS('DATA INPUT'!$E$3:$E$3000,'DATA INPUT'!$B$3:$B$3000,'Report Tables'!AN$1,'DATA INPUT'!$A$3:$A$3000,"&gt;="&amp;DATE(2018,3,1),'DATA INPUT'!$A$3:$A$3000,"&lt;"&amp;DATE(2018,3,31),'DATA INPUT'!$F$3:$F$3000,"&lt;&gt;*Exclude*"))/(COUNTIFS('DATA INPUT'!$B$3:$B$3000,'Report Tables'!AN$1,'DATA INPUT'!$A$3:$A$3000,"&gt;="&amp;DATE(2018,3,1),'DATA INPUT'!$A$3:$A$3000,"&lt;"&amp;DATE(2018,3,31),'DATA INPUT'!$F$3:$F$3000,"&lt;&gt;*Exclude*")),#N/A))</f>
        <v>#N/A</v>
      </c>
      <c r="AO17" s="117" t="e">
        <f>IF($L$2="Yes",IFERROR((SUMIFS('DATA INPUT'!$E$3:$E$3000,'DATA INPUT'!$B$3:$B$3000,'Report Tables'!AO$1,'DATA INPUT'!$A$3:$A$3000,"&gt;="&amp;DATE(2018,3,1),'DATA INPUT'!$A$3:$A$3000,"&lt;"&amp;DATE(2018,3,31)))/COUNTIFS('DATA INPUT'!$B$3:$B$3000,'Report Tables'!AO$1,'DATA INPUT'!$A$3:$A$3000,"&gt;="&amp;DATE(2018,3,1),'DATA INPUT'!$A$3:$A$3000,"&lt;"&amp;DATE(2018,3,31)),#N/A),IFERROR((SUMIFS('DATA INPUT'!$E$3:$E$3000,'DATA INPUT'!$B$3:$B$3000,'Report Tables'!AO$1,'DATA INPUT'!$A$3:$A$3000,"&gt;="&amp;DATE(2018,3,1),'DATA INPUT'!$A$3:$A$3000,"&lt;"&amp;DATE(2018,3,31),'DATA INPUT'!$F$3:$F$3000,"&lt;&gt;*Exclude*"))/(COUNTIFS('DATA INPUT'!$B$3:$B$3000,'Report Tables'!AO$1,'DATA INPUT'!$A$3:$A$3000,"&gt;="&amp;DATE(2018,3,1),'DATA INPUT'!$A$3:$A$3000,"&lt;"&amp;DATE(2018,3,31),'DATA INPUT'!$F$3:$F$3000,"&lt;&gt;*Exclude*")),#N/A))</f>
        <v>#N/A</v>
      </c>
      <c r="AP17" s="117" t="e">
        <f>IF($L$2="Yes",IFERROR((SUMIFS('DATA INPUT'!$E$3:$E$3000,'DATA INPUT'!$B$3:$B$3000,'Report Tables'!AP$1,'DATA INPUT'!$A$3:$A$3000,"&gt;="&amp;DATE(2018,3,1),'DATA INPUT'!$A$3:$A$3000,"&lt;"&amp;DATE(2018,3,31)))/COUNTIFS('DATA INPUT'!$B$3:$B$3000,'Report Tables'!AP$1,'DATA INPUT'!$A$3:$A$3000,"&gt;="&amp;DATE(2018,3,1),'DATA INPUT'!$A$3:$A$3000,"&lt;"&amp;DATE(2018,3,31)),#N/A),IFERROR((SUMIFS('DATA INPUT'!$E$3:$E$3000,'DATA INPUT'!$B$3:$B$3000,'Report Tables'!AP$1,'DATA INPUT'!$A$3:$A$3000,"&gt;="&amp;DATE(2018,3,1),'DATA INPUT'!$A$3:$A$3000,"&lt;"&amp;DATE(2018,3,31),'DATA INPUT'!$F$3:$F$3000,"&lt;&gt;*Exclude*"))/(COUNTIFS('DATA INPUT'!$B$3:$B$3000,'Report Tables'!AP$1,'DATA INPUT'!$A$3:$A$3000,"&gt;="&amp;DATE(2018,3,1),'DATA INPUT'!$A$3:$A$3000,"&lt;"&amp;DATE(2018,3,31),'DATA INPUT'!$F$3:$F$3000,"&lt;&gt;*Exclude*")),#N/A))</f>
        <v>#N/A</v>
      </c>
      <c r="AQ17" s="117" t="e">
        <f>IF($L$2="Yes",IFERROR((SUMIFS('DATA INPUT'!$E$3:$E$3000,'DATA INPUT'!$B$3:$B$3000,'Report Tables'!AQ$1,'DATA INPUT'!$A$3:$A$3000,"&gt;="&amp;DATE(2018,3,1),'DATA INPUT'!$A$3:$A$3000,"&lt;"&amp;DATE(2018,3,31)))/COUNTIFS('DATA INPUT'!$B$3:$B$3000,'Report Tables'!AQ$1,'DATA INPUT'!$A$3:$A$3000,"&gt;="&amp;DATE(2018,3,1),'DATA INPUT'!$A$3:$A$3000,"&lt;"&amp;DATE(2018,3,31)),#N/A),IFERROR((SUMIFS('DATA INPUT'!$E$3:$E$3000,'DATA INPUT'!$B$3:$B$3000,'Report Tables'!AQ$1,'DATA INPUT'!$A$3:$A$3000,"&gt;="&amp;DATE(2018,3,1),'DATA INPUT'!$A$3:$A$3000,"&lt;"&amp;DATE(2018,3,31),'DATA INPUT'!$F$3:$F$3000,"&lt;&gt;*Exclude*"))/(COUNTIFS('DATA INPUT'!$B$3:$B$3000,'Report Tables'!AQ$1,'DATA INPUT'!$A$3:$A$3000,"&gt;="&amp;DATE(2018,3,1),'DATA INPUT'!$A$3:$A$3000,"&lt;"&amp;DATE(2018,3,31),'DATA INPUT'!$F$3:$F$3000,"&lt;&gt;*Exclude*")),#N/A))</f>
        <v>#N/A</v>
      </c>
      <c r="AR17" s="117" t="e">
        <f>IF($L$2="Yes",IFERROR((SUMIFS('DATA INPUT'!$E$3:$E$3000,'DATA INPUT'!$B$3:$B$3000,'Report Tables'!AR$1,'DATA INPUT'!$A$3:$A$3000,"&gt;="&amp;DATE(2018,3,1),'DATA INPUT'!$A$3:$A$3000,"&lt;"&amp;DATE(2018,3,31)))/COUNTIFS('DATA INPUT'!$B$3:$B$3000,'Report Tables'!AR$1,'DATA INPUT'!$A$3:$A$3000,"&gt;="&amp;DATE(2018,3,1),'DATA INPUT'!$A$3:$A$3000,"&lt;"&amp;DATE(2018,3,31)),#N/A),IFERROR((SUMIFS('DATA INPUT'!$E$3:$E$3000,'DATA INPUT'!$B$3:$B$3000,'Report Tables'!AR$1,'DATA INPUT'!$A$3:$A$3000,"&gt;="&amp;DATE(2018,3,1),'DATA INPUT'!$A$3:$A$3000,"&lt;"&amp;DATE(2018,3,31),'DATA INPUT'!$F$3:$F$3000,"&lt;&gt;*Exclude*"))/(COUNTIFS('DATA INPUT'!$B$3:$B$3000,'Report Tables'!AR$1,'DATA INPUT'!$A$3:$A$3000,"&gt;="&amp;DATE(2018,3,1),'DATA INPUT'!$A$3:$A$3000,"&lt;"&amp;DATE(2018,3,31),'DATA INPUT'!$F$3:$F$3000,"&lt;&gt;*Exclude*")),#N/A))</f>
        <v>#N/A</v>
      </c>
      <c r="AS17" s="117" t="e">
        <f>IF($L$2="Yes",IFERROR((SUMIFS('DATA INPUT'!$E$3:$E$3000,'DATA INPUT'!$B$3:$B$3000,'Report Tables'!AS$1,'DATA INPUT'!$A$3:$A$3000,"&gt;="&amp;DATE(2018,3,1),'DATA INPUT'!$A$3:$A$3000,"&lt;"&amp;DATE(2018,3,31)))/COUNTIFS('DATA INPUT'!$B$3:$B$3000,'Report Tables'!AS$1,'DATA INPUT'!$A$3:$A$3000,"&gt;="&amp;DATE(2018,3,1),'DATA INPUT'!$A$3:$A$3000,"&lt;"&amp;DATE(2018,3,31)),#N/A),IFERROR((SUMIFS('DATA INPUT'!$E$3:$E$3000,'DATA INPUT'!$B$3:$B$3000,'Report Tables'!AS$1,'DATA INPUT'!$A$3:$A$3000,"&gt;="&amp;DATE(2018,3,1),'DATA INPUT'!$A$3:$A$3000,"&lt;"&amp;DATE(2018,3,31),'DATA INPUT'!$F$3:$F$3000,"&lt;&gt;*Exclude*"))/(COUNTIFS('DATA INPUT'!$B$3:$B$3000,'Report Tables'!AS$1,'DATA INPUT'!$A$3:$A$3000,"&gt;="&amp;DATE(2018,3,1),'DATA INPUT'!$A$3:$A$3000,"&lt;"&amp;DATE(2018,3,31),'DATA INPUT'!$F$3:$F$3000,"&lt;&gt;*Exclude*")),#N/A))</f>
        <v>#N/A</v>
      </c>
      <c r="AT17" s="117" t="e">
        <f>IF($L$2="Yes",IFERROR((SUMIFS('DATA INPUT'!$E$3:$E$3000,'DATA INPUT'!$B$3:$B$3000,'Report Tables'!AT$1,'DATA INPUT'!$A$3:$A$3000,"&gt;="&amp;DATE(2018,3,1),'DATA INPUT'!$A$3:$A$3000,"&lt;"&amp;DATE(2018,3,31)))/COUNTIFS('DATA INPUT'!$B$3:$B$3000,'Report Tables'!AT$1,'DATA INPUT'!$A$3:$A$3000,"&gt;="&amp;DATE(2018,3,1),'DATA INPUT'!$A$3:$A$3000,"&lt;"&amp;DATE(2018,3,31)),#N/A),IFERROR((SUMIFS('DATA INPUT'!$E$3:$E$3000,'DATA INPUT'!$B$3:$B$3000,'Report Tables'!AT$1,'DATA INPUT'!$A$3:$A$3000,"&gt;="&amp;DATE(2018,3,1),'DATA INPUT'!$A$3:$A$3000,"&lt;"&amp;DATE(2018,3,31),'DATA INPUT'!$F$3:$F$3000,"&lt;&gt;*Exclude*"))/(COUNTIFS('DATA INPUT'!$B$3:$B$3000,'Report Tables'!AT$1,'DATA INPUT'!$A$3:$A$3000,"&gt;="&amp;DATE(2018,3,1),'DATA INPUT'!$A$3:$A$3000,"&lt;"&amp;DATE(2018,3,31),'DATA INPUT'!$F$3:$F$3000,"&lt;&gt;*Exclude*")),#N/A))</f>
        <v>#N/A</v>
      </c>
      <c r="AU17" s="117" t="e">
        <f t="shared" si="1"/>
        <v>#N/A</v>
      </c>
      <c r="AV17" s="117" t="e">
        <f>IF($L$2="Yes",IFERROR((SUMIFS('DATA INPUT'!$D$3:$D$3000,'DATA INPUT'!$A$3:$A$3000,"&gt;="&amp;DATE(2018,3,1),'DATA INPUT'!$A$3:$A$3000,"&lt;"&amp;DATE(2018,3,31),'DATA INPUT'!$G$3:$G$3000,"&lt;&gt;*School service*"))/COUNTIFS('DATA INPUT'!$A$3:$A$3000,"&gt;="&amp;DATE(2018,3,1),'DATA INPUT'!$A$3:$A$3000,"&lt;"&amp;DATE(2018,3,31),'DATA INPUT'!$G$3:$G$3000,"&lt;&gt;*School service*",'DATA INPUT'!$D$3:$D$3000,"&lt;&gt;"&amp;""),#N/A),IFERROR((SUMIFS('DATA INPUT'!$D$3:$D$3000,'DATA INPUT'!$A$3:$A$3000,"&gt;="&amp;DATE(2018,3,1),'DATA INPUT'!$A$3:$A$3000,"&lt;"&amp;DATE(2018,3,31),'DATA INPUT'!$F$3:$F$3000,"&lt;&gt;*Exclude*",'DATA INPUT'!$G$3:$G$3000,"&lt;&gt;*School service*"))/(COUNTIFS('DATA INPUT'!$A$3:$A$3000,"&gt;="&amp;DATE(2018,3,1),'DATA INPUT'!$A$3:$A$3000,"&lt;"&amp;DATE(2018,3,31),'DATA INPUT'!$F$3:$F$3000,"&lt;&gt;*Exclude*",'DATA INPUT'!$G$3:$G$3000,"&lt;&gt;*School service*",'DATA INPUT'!$D$3:$D$3000,"&lt;&gt;"&amp;"")),#N/A))</f>
        <v>#N/A</v>
      </c>
      <c r="AW17" s="117" t="e">
        <f t="shared" si="2"/>
        <v>#N/A</v>
      </c>
      <c r="AX17" s="117" t="e">
        <f>IF($L$2="Yes",IFERROR((SUMIFS('DATA INPUT'!$E$3:$E$3000,'DATA INPUT'!$B$3:$B$3000,'Report Tables'!AX$1,'DATA INPUT'!$A$3:$A$3000,"&gt;="&amp;DATE(2018,3,1),'DATA INPUT'!$A$3:$A$3000,"&lt;"&amp;DATE(2018,3,31)))/COUNTIFS('DATA INPUT'!$B$3:$B$3000,'Report Tables'!AX$1,'DATA INPUT'!$A$3:$A$3000,"&gt;="&amp;DATE(2018,3,1),'DATA INPUT'!$A$3:$A$3000,"&lt;"&amp;DATE(2018,3,31)),#N/A),IFERROR((SUMIFS('DATA INPUT'!$E$3:$E$3000,'DATA INPUT'!$B$3:$B$3000,'Report Tables'!AX$1,'DATA INPUT'!$A$3:$A$3000,"&gt;="&amp;DATE(2018,3,1),'DATA INPUT'!$A$3:$A$3000,"&lt;"&amp;DATE(2018,3,31),'DATA INPUT'!$F$3:$F$3000,"&lt;&gt;*Exclude*"))/(COUNTIFS('DATA INPUT'!$B$3:$B$3000,'Report Tables'!AX$1,'DATA INPUT'!$A$3:$A$3000,"&gt;="&amp;DATE(2018,3,1),'DATA INPUT'!$A$3:$A$3000,"&lt;"&amp;DATE(2018,3,31),'DATA INPUT'!$F$3:$F$3000,"&lt;&gt;*Exclude*")),#N/A))</f>
        <v>#N/A</v>
      </c>
      <c r="AY17" s="117" t="e">
        <f>IF($L$2="Yes",IFERROR((SUMIFS('DATA INPUT'!$D$3:$D$3000,'DATA INPUT'!$B$3:$B$3000,'Report Tables'!AX$1,'DATA INPUT'!$A$3:$A$3000,"&gt;="&amp;DATE(2018,3,1),'DATA INPUT'!$A$3:$A$3000,"&lt;"&amp;DATE(2018,3,31)))/COUNTIFS('DATA INPUT'!$B$3:$B$3000,'Report Tables'!AX$1,'DATA INPUT'!$A$3:$A$3000,"&gt;="&amp;DATE(2018,3,1),'DATA INPUT'!$A$3:$A$3000,"&lt;"&amp;DATE(2018,3,31)),#N/A),IFERROR((SUMIFS('DATA INPUT'!$D$3:$D$3000,'DATA INPUT'!$B$3:$B$3000,'Report Tables'!AX$1,'DATA INPUT'!$A$3:$A$3000,"&gt;="&amp;DATE(2018,3,1),'DATA INPUT'!$A$3:$A$3000,"&lt;"&amp;DATE(2018,3,31),'DATA INPUT'!$F$3:$F$3000,"&lt;&gt;*Exclude*"))/(COUNTIFS('DATA INPUT'!$B$3:$B$3000,'Report Tables'!AX$1,'DATA INPUT'!$A$3:$A$3000,"&gt;="&amp;DATE(2018,3,1),'DATA INPUT'!$A$3:$A$3000,"&lt;"&amp;DATE(2018,3,31),'DATA INPUT'!$F$3:$F$3000,"&lt;&gt;*Exclude*")),#N/A))</f>
        <v>#N/A</v>
      </c>
      <c r="AZ17" s="117" t="e">
        <f>IF($L$2="Yes",IFERROR((SUMIFS('DATA INPUT'!$C$3:$C$3000,'DATA INPUT'!$B$3:$B$3000,'Report Tables'!AX$1,'DATA INPUT'!$A$3:$A$3000,"&gt;="&amp;DATE(2018,3,1),'DATA INPUT'!$A$3:$A$3000,"&lt;"&amp;DATE(2018,3,31)))/COUNTIFS('DATA INPUT'!$B$3:$B$3000,'Report Tables'!AX$1,'DATA INPUT'!$A$3:$A$3000,"&gt;="&amp;DATE(2018,3,1),'DATA INPUT'!$A$3:$A$3000,"&lt;"&amp;DATE(2018,3,31)),#N/A),IFERROR((SUMIFS('DATA INPUT'!$C$3:$C$3000,'DATA INPUT'!$B$3:$B$3000,'Report Tables'!AX$1,'DATA INPUT'!$A$3:$A$3000,"&gt;="&amp;DATE(2018,3,1),'DATA INPUT'!$A$3:$A$3000,"&lt;"&amp;DATE(2018,3,31),'DATA INPUT'!$F$3:$F$3000,"&lt;&gt;*Exclude*"))/(COUNTIFS('DATA INPUT'!$B$3:$B$3000,'Report Tables'!AX$1,'DATA INPUT'!$A$3:$A$3000,"&gt;="&amp;DATE(2018,3,1),'DATA INPUT'!$A$3:$A$3000,"&lt;"&amp;DATE(2018,3,31),'DATA INPUT'!$F$3:$F$3000,"&lt;&gt;*Exclude*")),#N/A))</f>
        <v>#N/A</v>
      </c>
    </row>
    <row r="18" spans="1:52" x14ac:dyDescent="0.3">
      <c r="A18" s="95" t="e">
        <f>VLOOKUP(B18,Information!$C$8:$F$15,4,FALSE)</f>
        <v>#N/A</v>
      </c>
      <c r="B18" s="52">
        <f>$B$6</f>
        <v>0</v>
      </c>
      <c r="C18" s="59">
        <f>IF($L$2="Yes",IFERROR((SUMIFS('DATA INPUT'!$E$3:$E$3000,'DATA INPUT'!$A$3:$A$3000,"&gt;="&amp;DATE(2017,1,1),'DATA INPUT'!$A$3:$A$3000,"&lt;="&amp;DATE(2017,12,31),'DATA INPUT'!$B$3:$B$3000,$B18)),#N/A),IFERROR((SUMIFS('DATA INPUT'!$E$3:$E$3000,'DATA INPUT'!$A$3:$A$3000,"&gt;="&amp;DATE(2017,1,1),'DATA INPUT'!$A$3:$A$3000,"&lt;="&amp;DATE(2017,12,31),'DATA INPUT'!$B$3:$B$3000,$B18,'DATA INPUT'!$F$3:$F$3000,"&lt;&gt;*Exclude*")),#N/A))</f>
        <v>0</v>
      </c>
      <c r="D18" s="59">
        <f>IF($L$2="Yes",IFERROR((SUMIFS('DATA INPUT'!$E$3:$E$3000,'DATA INPUT'!$A$3:$A$3000,"&gt;="&amp;DATE(2018,1,1),'DATA INPUT'!$A$3:$A$3000,"&lt;="&amp;DATE(2018,12,31),'DATA INPUT'!$B$3:$B$3000,$B18)),#N/A),IFERROR((SUMIFS('DATA INPUT'!$E$3:$E$3000,'DATA INPUT'!$A$3:$A$3000,"&gt;="&amp;DATE(2018,1,1),'DATA INPUT'!$A$3:$A$3000,"&lt;="&amp;DATE(2018,12,31),'DATA INPUT'!$B$3:$B$3000,$B18,'DATA INPUT'!$F$3:$F$3000,"&lt;&gt;*Exclude*")),#N/A))</f>
        <v>0</v>
      </c>
      <c r="E18" s="59">
        <f>IF($L$2="Yes",IFERROR((SUMIFS('DATA INPUT'!$E$3:$E$3000,'DATA INPUT'!$A$3:$A$3000,"&gt;="&amp;DATE(2019,1,1),'DATA INPUT'!$A$3:$A$3000,"&lt;="&amp;DATE(2019,12,31),'DATA INPUT'!$B$3:$B$3000,$B18)),#N/A),IFERROR((SUMIFS('DATA INPUT'!$E$3:$E$3000,'DATA INPUT'!$A$3:$A$3000,"&gt;="&amp;DATE(2019,1,1),'DATA INPUT'!$A$3:$A$3000,"&lt;="&amp;DATE(2019,12,31),'DATA INPUT'!$B$3:$B$3000,$B18,'DATA INPUT'!$F$3:$F$3000,"&lt;&gt;*Exclude*")),#N/A))</f>
        <v>0</v>
      </c>
      <c r="F18" s="59">
        <f>IF($L$2="Yes",IFERROR((SUMIFS('DATA INPUT'!$E$3:$E$3000,'DATA INPUT'!$A$3:$A$3000,"&gt;="&amp;DATE(2020,1,1),'DATA INPUT'!$A$3:$A$3000,"&lt;="&amp;DATE(2020,12,31),'DATA INPUT'!$B$3:$B$3000,$B18)),#N/A),IFERROR((SUMIFS('DATA INPUT'!$E$3:$E$3000,'DATA INPUT'!$A$3:$A$3000,"&gt;="&amp;DATE(2020,1,1),'DATA INPUT'!$A$3:$A$3000,"&lt;="&amp;DATE(2020,12,31),'DATA INPUT'!$B$3:$B$3000,$B18,'DATA INPUT'!$F$3:$F$3000,"&lt;&gt;*Exclude*")),#N/A))</f>
        <v>0</v>
      </c>
      <c r="G18" s="59">
        <f>IF($L$2="Yes",IFERROR((SUMIFS('DATA INPUT'!$E$3:$E$3000,'DATA INPUT'!$A$3:$A$3000,"&gt;="&amp;DATE(2021,1,1),'DATA INPUT'!$A$3:$A$3000,"&lt;="&amp;DATE(2021,12,31),'DATA INPUT'!$B$3:$B$3000,$B18)),#N/A),IFERROR((SUMIFS('DATA INPUT'!$E$3:$E$3000,'DATA INPUT'!$A$3:$A$3000,"&gt;="&amp;DATE(2021,1,1),'DATA INPUT'!$A$3:$A$3000,"&lt;="&amp;DATE(2021,12,31),'DATA INPUT'!$B$3:$B$3000,$B18,'DATA INPUT'!$F$3:$F$3000,"&lt;&gt;*Exclude*")),#N/A))</f>
        <v>0</v>
      </c>
      <c r="H18" s="59">
        <f>IF($L$2="Yes",IFERROR((SUMIFS('DATA INPUT'!$E$3:$E$3000,'DATA INPUT'!$A$3:$A$3000,"&gt;="&amp;DATE(2022,1,1),'DATA INPUT'!$A$3:$A$3000,"&lt;="&amp;DATE(2022,12,31),'DATA INPUT'!$B$3:$B$3000,$B18)),#N/A),IFERROR((SUMIFS('DATA INPUT'!$E$3:$E$3000,'DATA INPUT'!$A$3:$A$3000,"&gt;="&amp;DATE(2022,1,1),'DATA INPUT'!$A$3:$A$3000,"&lt;="&amp;DATE(2022,12,31),'DATA INPUT'!$B$3:$B$3000,$B18,'DATA INPUT'!$F$3:$F$3000,"&lt;&gt;*Exclude*")),#N/A))</f>
        <v>0</v>
      </c>
      <c r="I18" s="59">
        <f>IF($L$2="Yes",IFERROR((SUMIFS('DATA INPUT'!$E$3:$E$3000,'DATA INPUT'!$A$3:$A$3000,"&gt;="&amp;DATE(2023,1,1),'DATA INPUT'!$A$3:$A$3000,"&lt;="&amp;DATE(2023,12,31),'DATA INPUT'!$B$3:$B$3000,$B18)),#N/A),IFERROR((SUMIFS('DATA INPUT'!$E$3:$E$3000,'DATA INPUT'!$A$3:$A$3000,"&gt;="&amp;DATE(2023,1,1),'DATA INPUT'!$A$3:$A$3000,"&lt;="&amp;DATE(2023,12,31),'DATA INPUT'!$B$3:$B$3000,$B18,'DATA INPUT'!$F$3:$F$3000,"&lt;&gt;*Exclude*")),#N/A))</f>
        <v>0</v>
      </c>
      <c r="J18" s="59">
        <f>IF($L$2="Yes",IFERROR((SUMIFS('DATA INPUT'!$E$3:$E$3000,'DATA INPUT'!$A$3:$A$3000,"&gt;="&amp;DATE(2024,1,1),'DATA INPUT'!$A$3:$A$3000,"&lt;="&amp;DATE(2024,12,31),'DATA INPUT'!$B$3:$B$3000,$B18)),#N/A),IFERROR((SUMIFS('DATA INPUT'!$E$3:$E$3000,'DATA INPUT'!$A$3:$A$3000,"&gt;="&amp;DATE(2024,1,1),'DATA INPUT'!$A$3:$A$3000,"&lt;="&amp;DATE(2024,12,31),'DATA INPUT'!$B$3:$B$3000,$B18,'DATA INPUT'!$F$3:$F$3000,"&lt;&gt;*Exclude*")),#N/A))</f>
        <v>0</v>
      </c>
      <c r="K18" s="59">
        <f>IF($L$2="Yes",IFERROR((SUMIFS('DATA INPUT'!$E$3:$E$3000,'DATA INPUT'!$A$3:$A$3000,"&gt;="&amp;DATE(2025,1,1),'DATA INPUT'!$A$3:$A$3000,"&lt;="&amp;DATE(2025,12,31),'DATA INPUT'!$B$3:$B$3000,$B18)),#N/A),IFERROR((SUMIFS('DATA INPUT'!$E$3:$E$3000,'DATA INPUT'!$A$3:$A$3000,"&gt;="&amp;DATE(2025,1,1),'DATA INPUT'!$A$3:$A$3000,"&lt;="&amp;DATE(2025,12,31),'DATA INPUT'!$B$3:$B$3000,$B18,'DATA INPUT'!$F$3:$F$3000,"&lt;&gt;*Exclude*")),#N/A))</f>
        <v>0</v>
      </c>
      <c r="L18" s="103">
        <f t="shared" ref="L18:L24" si="8">SUMIFS(C18:K18,C18:K18,"&lt;&gt;#DIV/0!",C18:K18,"&lt;&gt;#n/a")</f>
        <v>0</v>
      </c>
      <c r="M18" s="105" t="str">
        <f t="shared" ref="M18:M26" si="9">IFERROR(L18/(COUNTIF(C18:K18,"&gt;0")),"")</f>
        <v/>
      </c>
      <c r="Y18" s="149"/>
      <c r="Z18" s="149" t="s">
        <v>15</v>
      </c>
      <c r="AA18" s="136" t="e">
        <f>IF($L$2="Yes",IF(SUMIFS('DATA INPUT'!$E$3:$E$3000,'DATA INPUT'!$B$3:$B$3000,'Report Tables'!AA$1,'DATA INPUT'!$A$3:$A$3000,"&gt;="&amp;DATE(2018,4,1),'DATA INPUT'!$A$3:$A$3000,"&lt;"&amp;DATE(2018,4,31))=0,#N/A,(SUMIFS('DATA INPUT'!$E$3:$E$3000,'DATA INPUT'!$B$3:$B$3000,'Report Tables'!AA$1,'DATA INPUT'!$A$3:$A$3000,"&gt;="&amp;DATE(2018,4,1),'DATA INPUT'!$A$3:$A$3000,"&lt;"&amp;DATE(2018,4,31)))),IF(SUMIFS('DATA INPUT'!$E$3:$E$3000,'DATA INPUT'!$B$3:$B$3000,'Report Tables'!AA$1,'DATA INPUT'!$A$3:$A$3000,"&gt;="&amp;DATE(2018,4,1),'DATA INPUT'!$A$3:$A$3000,"&lt;"&amp;DATE(2018,4,31),'DATA INPUT'!$F$3:$F$3000,"&lt;&gt;*Exclude*")=0,#N/A,(SUMIFS('DATA INPUT'!$E$3:$E$3000,'DATA INPUT'!$B$3:$B$3000,'Report Tables'!AA$1,'DATA INPUT'!$A$3:$A$3000,"&gt;="&amp;DATE(2018,4,1),'DATA INPUT'!$A$3:$A$3000,"&lt;"&amp;DATE(2018,4,31),'DATA INPUT'!$F$3:$F$3000,"&lt;&gt;*Exclude*"))))</f>
        <v>#N/A</v>
      </c>
      <c r="AB18" s="136" t="e">
        <f>IF($L$2="Yes",IF(SUMIFS('DATA INPUT'!$E$3:$E$3000,'DATA INPUT'!$B$3:$B$3000,'Report Tables'!AB$1,'DATA INPUT'!$A$3:$A$3000,"&gt;="&amp;DATE(2018,4,1),'DATA INPUT'!$A$3:$A$3000,"&lt;"&amp;DATE(2018,4,31))=0,#N/A,(SUMIFS('DATA INPUT'!$E$3:$E$3000,'DATA INPUT'!$B$3:$B$3000,'Report Tables'!AB$1,'DATA INPUT'!$A$3:$A$3000,"&gt;="&amp;DATE(2018,4,1),'DATA INPUT'!$A$3:$A$3000,"&lt;"&amp;DATE(2018,4,31)))),IF(SUMIFS('DATA INPUT'!$E$3:$E$3000,'DATA INPUT'!$B$3:$B$3000,'Report Tables'!AB$1,'DATA INPUT'!$A$3:$A$3000,"&gt;="&amp;DATE(2018,4,1),'DATA INPUT'!$A$3:$A$3000,"&lt;"&amp;DATE(2018,4,31),'DATA INPUT'!$F$3:$F$3000,"&lt;&gt;*Exclude*")=0,#N/A,(SUMIFS('DATA INPUT'!$E$3:$E$3000,'DATA INPUT'!$B$3:$B$3000,'Report Tables'!AB$1,'DATA INPUT'!$A$3:$A$3000,"&gt;="&amp;DATE(2018,4,1),'DATA INPUT'!$A$3:$A$3000,"&lt;"&amp;DATE(2018,4,31),'DATA INPUT'!$F$3:$F$3000,"&lt;&gt;*Exclude*"))))</f>
        <v>#N/A</v>
      </c>
      <c r="AC18" s="136" t="e">
        <f>IF($L$2="Yes",IF(SUMIFS('DATA INPUT'!$E$3:$E$3000,'DATA INPUT'!$B$3:$B$3000,'Report Tables'!AC$1,'DATA INPUT'!$A$3:$A$3000,"&gt;="&amp;DATE(2018,4,1),'DATA INPUT'!$A$3:$A$3000,"&lt;"&amp;DATE(2018,4,31))=0,#N/A,(SUMIFS('DATA INPUT'!$E$3:$E$3000,'DATA INPUT'!$B$3:$B$3000,'Report Tables'!AC$1,'DATA INPUT'!$A$3:$A$3000,"&gt;="&amp;DATE(2018,4,1),'DATA INPUT'!$A$3:$A$3000,"&lt;"&amp;DATE(2018,4,31)))),IF(SUMIFS('DATA INPUT'!$E$3:$E$3000,'DATA INPUT'!$B$3:$B$3000,'Report Tables'!AC$1,'DATA INPUT'!$A$3:$A$3000,"&gt;="&amp;DATE(2018,4,1),'DATA INPUT'!$A$3:$A$3000,"&lt;"&amp;DATE(2018,4,31),'DATA INPUT'!$F$3:$F$3000,"&lt;&gt;*Exclude*")=0,#N/A,(SUMIFS('DATA INPUT'!$E$3:$E$3000,'DATA INPUT'!$B$3:$B$3000,'Report Tables'!AC$1,'DATA INPUT'!$A$3:$A$3000,"&gt;="&amp;DATE(2018,4,1),'DATA INPUT'!$A$3:$A$3000,"&lt;"&amp;DATE(2018,4,31),'DATA INPUT'!$F$3:$F$3000,"&lt;&gt;*Exclude*"))))</f>
        <v>#N/A</v>
      </c>
      <c r="AD18" s="136" t="e">
        <f>IF($L$2="Yes",IF(SUMIFS('DATA INPUT'!$E$3:$E$3000,'DATA INPUT'!$B$3:$B$3000,'Report Tables'!AD$1,'DATA INPUT'!$A$3:$A$3000,"&gt;="&amp;DATE(2018,4,1),'DATA INPUT'!$A$3:$A$3000,"&lt;"&amp;DATE(2018,4,31))=0,#N/A,(SUMIFS('DATA INPUT'!$E$3:$E$3000,'DATA INPUT'!$B$3:$B$3000,'Report Tables'!AD$1,'DATA INPUT'!$A$3:$A$3000,"&gt;="&amp;DATE(2018,4,1),'DATA INPUT'!$A$3:$A$3000,"&lt;"&amp;DATE(2018,4,31)))),IF(SUMIFS('DATA INPUT'!$E$3:$E$3000,'DATA INPUT'!$B$3:$B$3000,'Report Tables'!AD$1,'DATA INPUT'!$A$3:$A$3000,"&gt;="&amp;DATE(2018,4,1),'DATA INPUT'!$A$3:$A$3000,"&lt;"&amp;DATE(2018,4,31),'DATA INPUT'!$F$3:$F$3000,"&lt;&gt;*Exclude*")=0,#N/A,(SUMIFS('DATA INPUT'!$E$3:$E$3000,'DATA INPUT'!$B$3:$B$3000,'Report Tables'!AD$1,'DATA INPUT'!$A$3:$A$3000,"&gt;="&amp;DATE(2018,4,1),'DATA INPUT'!$A$3:$A$3000,"&lt;"&amp;DATE(2018,4,31),'DATA INPUT'!$F$3:$F$3000,"&lt;&gt;*Exclude*"))))</f>
        <v>#N/A</v>
      </c>
      <c r="AE18" s="136" t="e">
        <f>IF($L$2="Yes",IF(SUMIFS('DATA INPUT'!$E$3:$E$3000,'DATA INPUT'!$B$3:$B$3000,'Report Tables'!AE$1,'DATA INPUT'!$A$3:$A$3000,"&gt;="&amp;DATE(2018,4,1),'DATA INPUT'!$A$3:$A$3000,"&lt;"&amp;DATE(2018,4,31))=0,#N/A,(SUMIFS('DATA INPUT'!$E$3:$E$3000,'DATA INPUT'!$B$3:$B$3000,'Report Tables'!AE$1,'DATA INPUT'!$A$3:$A$3000,"&gt;="&amp;DATE(2018,4,1),'DATA INPUT'!$A$3:$A$3000,"&lt;"&amp;DATE(2018,4,31)))),IF(SUMIFS('DATA INPUT'!$E$3:$E$3000,'DATA INPUT'!$B$3:$B$3000,'Report Tables'!AE$1,'DATA INPUT'!$A$3:$A$3000,"&gt;="&amp;DATE(2018,4,1),'DATA INPUT'!$A$3:$A$3000,"&lt;"&amp;DATE(2018,4,31),'DATA INPUT'!$F$3:$F$3000,"&lt;&gt;*Exclude*")=0,#N/A,(SUMIFS('DATA INPUT'!$E$3:$E$3000,'DATA INPUT'!$B$3:$B$3000,'Report Tables'!AE$1,'DATA INPUT'!$A$3:$A$3000,"&gt;="&amp;DATE(2018,4,1),'DATA INPUT'!$A$3:$A$3000,"&lt;"&amp;DATE(2018,4,31),'DATA INPUT'!$F$3:$F$3000,"&lt;&gt;*Exclude*"))))</f>
        <v>#N/A</v>
      </c>
      <c r="AF18" s="136" t="e">
        <f>IF($L$2="Yes",IF(SUMIFS('DATA INPUT'!$E$3:$E$3000,'DATA INPUT'!$B$3:$B$3000,'Report Tables'!AF$1,'DATA INPUT'!$A$3:$A$3000,"&gt;="&amp;DATE(2018,4,1),'DATA INPUT'!$A$3:$A$3000,"&lt;"&amp;DATE(2018,4,31))=0,#N/A,(SUMIFS('DATA INPUT'!$E$3:$E$3000,'DATA INPUT'!$B$3:$B$3000,'Report Tables'!AF$1,'DATA INPUT'!$A$3:$A$3000,"&gt;="&amp;DATE(2018,4,1),'DATA INPUT'!$A$3:$A$3000,"&lt;"&amp;DATE(2018,4,31)))),IF(SUMIFS('DATA INPUT'!$E$3:$E$3000,'DATA INPUT'!$B$3:$B$3000,'Report Tables'!AF$1,'DATA INPUT'!$A$3:$A$3000,"&gt;="&amp;DATE(2018,4,1),'DATA INPUT'!$A$3:$A$3000,"&lt;"&amp;DATE(2018,4,31),'DATA INPUT'!$F$3:$F$3000,"&lt;&gt;*Exclude*")=0,#N/A,(SUMIFS('DATA INPUT'!$E$3:$E$3000,'DATA INPUT'!$B$3:$B$3000,'Report Tables'!AF$1,'DATA INPUT'!$A$3:$A$3000,"&gt;="&amp;DATE(2018,4,1),'DATA INPUT'!$A$3:$A$3000,"&lt;"&amp;DATE(2018,4,31),'DATA INPUT'!$F$3:$F$3000,"&lt;&gt;*Exclude*"))))</f>
        <v>#N/A</v>
      </c>
      <c r="AG18" s="136" t="e">
        <f>IF($L$2="Yes",IF(SUMIFS('DATA INPUT'!$E$3:$E$3000,'DATA INPUT'!$B$3:$B$3000,'Report Tables'!AG$1,'DATA INPUT'!$A$3:$A$3000,"&gt;="&amp;DATE(2018,4,1),'DATA INPUT'!$A$3:$A$3000,"&lt;"&amp;DATE(2018,4,31))=0,#N/A,(SUMIFS('DATA INPUT'!$E$3:$E$3000,'DATA INPUT'!$B$3:$B$3000,'Report Tables'!AG$1,'DATA INPUT'!$A$3:$A$3000,"&gt;="&amp;DATE(2018,4,1),'DATA INPUT'!$A$3:$A$3000,"&lt;"&amp;DATE(2018,4,31)))),IF(SUMIFS('DATA INPUT'!$E$3:$E$3000,'DATA INPUT'!$B$3:$B$3000,'Report Tables'!AG$1,'DATA INPUT'!$A$3:$A$3000,"&gt;="&amp;DATE(2018,4,1),'DATA INPUT'!$A$3:$A$3000,"&lt;"&amp;DATE(2018,4,31),'DATA INPUT'!$F$3:$F$3000,"&lt;&gt;*Exclude*")=0,#N/A,(SUMIFS('DATA INPUT'!$E$3:$E$3000,'DATA INPUT'!$B$3:$B$3000,'Report Tables'!AG$1,'DATA INPUT'!$A$3:$A$3000,"&gt;="&amp;DATE(2018,4,1),'DATA INPUT'!$A$3:$A$3000,"&lt;"&amp;DATE(2018,4,31),'DATA INPUT'!$F$3:$F$3000,"&lt;&gt;*Exclude*"))))</f>
        <v>#N/A</v>
      </c>
      <c r="AH18" s="136" t="e">
        <f>IF($L$2="Yes",IF(SUMIFS('DATA INPUT'!$E$3:$E$3000,'DATA INPUT'!$B$3:$B$3000,'Report Tables'!AH$1,'DATA INPUT'!$A$3:$A$3000,"&gt;="&amp;DATE(2018,4,1),'DATA INPUT'!$A$3:$A$3000,"&lt;"&amp;DATE(2018,4,31))=0,#N/A,(SUMIFS('DATA INPUT'!$E$3:$E$3000,'DATA INPUT'!$B$3:$B$3000,'Report Tables'!AH$1,'DATA INPUT'!$A$3:$A$3000,"&gt;="&amp;DATE(2018,4,1),'DATA INPUT'!$A$3:$A$3000,"&lt;"&amp;DATE(2018,4,31)))),IF(SUMIFS('DATA INPUT'!$E$3:$E$3000,'DATA INPUT'!$B$3:$B$3000,'Report Tables'!AH$1,'DATA INPUT'!$A$3:$A$3000,"&gt;="&amp;DATE(2018,4,1),'DATA INPUT'!$A$3:$A$3000,"&lt;"&amp;DATE(2018,4,31),'DATA INPUT'!$F$3:$F$3000,"&lt;&gt;*Exclude*")=0,#N/A,(SUMIFS('DATA INPUT'!$E$3:$E$3000,'DATA INPUT'!$B$3:$B$3000,'Report Tables'!AH$1,'DATA INPUT'!$A$3:$A$3000,"&gt;="&amp;DATE(2018,4,1),'DATA INPUT'!$A$3:$A$3000,"&lt;"&amp;DATE(2018,4,31),'DATA INPUT'!$F$3:$F$3000,"&lt;&gt;*Exclude*"))))</f>
        <v>#N/A</v>
      </c>
      <c r="AI18" s="136" t="e">
        <f t="shared" si="0"/>
        <v>#N/A</v>
      </c>
      <c r="AJ18" s="136" t="e">
        <f>IF($L$2="Yes",IF(SUMIFS('DATA INPUT'!$D$3:$D$3000,'DATA INPUT'!$A$3:$A$3000,"&gt;="&amp;DATE(2018,4,1),'DATA INPUT'!$A$3:$A$3000,"&lt;"&amp;DATE(2018,4,31),'DATA INPUT'!$G$3:$G$3000,"&lt;&gt;*School service*")=0,#N/A,(SUMIFS('DATA INPUT'!$D$3:$D$3000,'DATA INPUT'!$A$3:$A$3000,"&gt;="&amp;DATE(2018,4,1),'DATA INPUT'!$A$3:$A$3000,"&lt;"&amp;DATE(2018,4,31),'DATA INPUT'!$G$3:$G$3000,"&lt;&gt;*School service*"))),IF(SUMIFS('DATA INPUT'!$D$3:$D$3000,'DATA INPUT'!$A$3:$A$3000,"&gt;="&amp;DATE(2018,4,1),'DATA INPUT'!$A$3:$A$3000,"&lt;"&amp;DATE(2018,4,31),'DATA INPUT'!$F$3:$F$3000,"&lt;&gt;*Exclude*",'DATA INPUT'!$G$3:$G$3000,"&lt;&gt;*School service*")=0,#N/A,(SUMIFS('DATA INPUT'!$D$3:$D$3000,'DATA INPUT'!$A$3:$A$3000,"&gt;="&amp;DATE(2018,4,1),'DATA INPUT'!$A$3:$A$3000,"&lt;"&amp;DATE(2018,4,31),'DATA INPUT'!$F$3:$F$3000,"&lt;&gt;*Exclude*",'DATA INPUT'!$G$3:$G$3000,"&lt;&gt;*School service*"))))</f>
        <v>#N/A</v>
      </c>
      <c r="AK18" s="136" t="e">
        <f>AI18-AJ18</f>
        <v>#N/A</v>
      </c>
      <c r="AM18" s="117" t="e">
        <f>IF($L$2="Yes",IFERROR((SUMIFS('DATA INPUT'!$E$3:$E$3000,'DATA INPUT'!$B$3:$B$3000,'Report Tables'!AM$1,'DATA INPUT'!$A$3:$A$3000,"&gt;="&amp;DATE(2018,4,1),'DATA INPUT'!$A$3:$A$3000,"&lt;"&amp;DATE(2018,4,31)))/COUNTIFS('DATA INPUT'!$B$3:$B$3000,'Report Tables'!AM$1,'DATA INPUT'!$A$3:$A$3000,"&gt;="&amp;DATE(2018,4,1),'DATA INPUT'!$A$3:$A$3000,"&lt;"&amp;DATE(2018,4,31)),#N/A),IFERROR((SUMIFS('DATA INPUT'!$E$3:$E$3000,'DATA INPUT'!$B$3:$B$3000,'Report Tables'!AM$1,'DATA INPUT'!$A$3:$A$3000,"&gt;="&amp;DATE(2018,4,1),'DATA INPUT'!$A$3:$A$3000,"&lt;"&amp;DATE(2018,4,31),'DATA INPUT'!$F$3:$F$3000,"&lt;&gt;*Exclude*"))/(COUNTIFS('DATA INPUT'!$B$3:$B$3000,'Report Tables'!AM$1,'DATA INPUT'!$A$3:$A$3000,"&gt;="&amp;DATE(2018,4,1),'DATA INPUT'!$A$3:$A$3000,"&lt;"&amp;DATE(2018,4,31),'DATA INPUT'!$F$3:$F$3000,"&lt;&gt;*Exclude*")),#N/A))</f>
        <v>#N/A</v>
      </c>
      <c r="AN18" s="117" t="e">
        <f>IF($L$2="Yes",IFERROR((SUMIFS('DATA INPUT'!$E$3:$E$3000,'DATA INPUT'!$B$3:$B$3000,'Report Tables'!AN$1,'DATA INPUT'!$A$3:$A$3000,"&gt;="&amp;DATE(2018,4,1),'DATA INPUT'!$A$3:$A$3000,"&lt;"&amp;DATE(2018,4,31)))/COUNTIFS('DATA INPUT'!$B$3:$B$3000,'Report Tables'!AN$1,'DATA INPUT'!$A$3:$A$3000,"&gt;="&amp;DATE(2018,4,1),'DATA INPUT'!$A$3:$A$3000,"&lt;"&amp;DATE(2018,4,31)),#N/A),IFERROR((SUMIFS('DATA INPUT'!$E$3:$E$3000,'DATA INPUT'!$B$3:$B$3000,'Report Tables'!AN$1,'DATA INPUT'!$A$3:$A$3000,"&gt;="&amp;DATE(2018,4,1),'DATA INPUT'!$A$3:$A$3000,"&lt;"&amp;DATE(2018,4,31),'DATA INPUT'!$F$3:$F$3000,"&lt;&gt;*Exclude*"))/(COUNTIFS('DATA INPUT'!$B$3:$B$3000,'Report Tables'!AN$1,'DATA INPUT'!$A$3:$A$3000,"&gt;="&amp;DATE(2018,4,1),'DATA INPUT'!$A$3:$A$3000,"&lt;"&amp;DATE(2018,4,31),'DATA INPUT'!$F$3:$F$3000,"&lt;&gt;*Exclude*")),#N/A))</f>
        <v>#N/A</v>
      </c>
      <c r="AO18" s="117" t="e">
        <f>IF($L$2="Yes",IFERROR((SUMIFS('DATA INPUT'!$E$3:$E$3000,'DATA INPUT'!$B$3:$B$3000,'Report Tables'!AO$1,'DATA INPUT'!$A$3:$A$3000,"&gt;="&amp;DATE(2018,4,1),'DATA INPUT'!$A$3:$A$3000,"&lt;"&amp;DATE(2018,4,31)))/COUNTIFS('DATA INPUT'!$B$3:$B$3000,'Report Tables'!AO$1,'DATA INPUT'!$A$3:$A$3000,"&gt;="&amp;DATE(2018,4,1),'DATA INPUT'!$A$3:$A$3000,"&lt;"&amp;DATE(2018,4,31)),#N/A),IFERROR((SUMIFS('DATA INPUT'!$E$3:$E$3000,'DATA INPUT'!$B$3:$B$3000,'Report Tables'!AO$1,'DATA INPUT'!$A$3:$A$3000,"&gt;="&amp;DATE(2018,4,1),'DATA INPUT'!$A$3:$A$3000,"&lt;"&amp;DATE(2018,4,31),'DATA INPUT'!$F$3:$F$3000,"&lt;&gt;*Exclude*"))/(COUNTIFS('DATA INPUT'!$B$3:$B$3000,'Report Tables'!AO$1,'DATA INPUT'!$A$3:$A$3000,"&gt;="&amp;DATE(2018,4,1),'DATA INPUT'!$A$3:$A$3000,"&lt;"&amp;DATE(2018,4,31),'DATA INPUT'!$F$3:$F$3000,"&lt;&gt;*Exclude*")),#N/A))</f>
        <v>#N/A</v>
      </c>
      <c r="AP18" s="117" t="e">
        <f>IF($L$2="Yes",IFERROR((SUMIFS('DATA INPUT'!$E$3:$E$3000,'DATA INPUT'!$B$3:$B$3000,'Report Tables'!AP$1,'DATA INPUT'!$A$3:$A$3000,"&gt;="&amp;DATE(2018,4,1),'DATA INPUT'!$A$3:$A$3000,"&lt;"&amp;DATE(2018,4,31)))/COUNTIFS('DATA INPUT'!$B$3:$B$3000,'Report Tables'!AP$1,'DATA INPUT'!$A$3:$A$3000,"&gt;="&amp;DATE(2018,4,1),'DATA INPUT'!$A$3:$A$3000,"&lt;"&amp;DATE(2018,4,31)),#N/A),IFERROR((SUMIFS('DATA INPUT'!$E$3:$E$3000,'DATA INPUT'!$B$3:$B$3000,'Report Tables'!AP$1,'DATA INPUT'!$A$3:$A$3000,"&gt;="&amp;DATE(2018,4,1),'DATA INPUT'!$A$3:$A$3000,"&lt;"&amp;DATE(2018,4,31),'DATA INPUT'!$F$3:$F$3000,"&lt;&gt;*Exclude*"))/(COUNTIFS('DATA INPUT'!$B$3:$B$3000,'Report Tables'!AP$1,'DATA INPUT'!$A$3:$A$3000,"&gt;="&amp;DATE(2018,4,1),'DATA INPUT'!$A$3:$A$3000,"&lt;"&amp;DATE(2018,4,31),'DATA INPUT'!$F$3:$F$3000,"&lt;&gt;*Exclude*")),#N/A))</f>
        <v>#N/A</v>
      </c>
      <c r="AQ18" s="117" t="e">
        <f>IF($L$2="Yes",IFERROR((SUMIFS('DATA INPUT'!$E$3:$E$3000,'DATA INPUT'!$B$3:$B$3000,'Report Tables'!AQ$1,'DATA INPUT'!$A$3:$A$3000,"&gt;="&amp;DATE(2018,4,1),'DATA INPUT'!$A$3:$A$3000,"&lt;"&amp;DATE(2018,4,31)))/COUNTIFS('DATA INPUT'!$B$3:$B$3000,'Report Tables'!AQ$1,'DATA INPUT'!$A$3:$A$3000,"&gt;="&amp;DATE(2018,4,1),'DATA INPUT'!$A$3:$A$3000,"&lt;"&amp;DATE(2018,4,31)),#N/A),IFERROR((SUMIFS('DATA INPUT'!$E$3:$E$3000,'DATA INPUT'!$B$3:$B$3000,'Report Tables'!AQ$1,'DATA INPUT'!$A$3:$A$3000,"&gt;="&amp;DATE(2018,4,1),'DATA INPUT'!$A$3:$A$3000,"&lt;"&amp;DATE(2018,4,31),'DATA INPUT'!$F$3:$F$3000,"&lt;&gt;*Exclude*"))/(COUNTIFS('DATA INPUT'!$B$3:$B$3000,'Report Tables'!AQ$1,'DATA INPUT'!$A$3:$A$3000,"&gt;="&amp;DATE(2018,4,1),'DATA INPUT'!$A$3:$A$3000,"&lt;"&amp;DATE(2018,4,31),'DATA INPUT'!$F$3:$F$3000,"&lt;&gt;*Exclude*")),#N/A))</f>
        <v>#N/A</v>
      </c>
      <c r="AR18" s="117" t="e">
        <f>IF($L$2="Yes",IFERROR((SUMIFS('DATA INPUT'!$E$3:$E$3000,'DATA INPUT'!$B$3:$B$3000,'Report Tables'!AR$1,'DATA INPUT'!$A$3:$A$3000,"&gt;="&amp;DATE(2018,4,1),'DATA INPUT'!$A$3:$A$3000,"&lt;"&amp;DATE(2018,4,31)))/COUNTIFS('DATA INPUT'!$B$3:$B$3000,'Report Tables'!AR$1,'DATA INPUT'!$A$3:$A$3000,"&gt;="&amp;DATE(2018,4,1),'DATA INPUT'!$A$3:$A$3000,"&lt;"&amp;DATE(2018,4,31)),#N/A),IFERROR((SUMIFS('DATA INPUT'!$E$3:$E$3000,'DATA INPUT'!$B$3:$B$3000,'Report Tables'!AR$1,'DATA INPUT'!$A$3:$A$3000,"&gt;="&amp;DATE(2018,4,1),'DATA INPUT'!$A$3:$A$3000,"&lt;"&amp;DATE(2018,4,31),'DATA INPUT'!$F$3:$F$3000,"&lt;&gt;*Exclude*"))/(COUNTIFS('DATA INPUT'!$B$3:$B$3000,'Report Tables'!AR$1,'DATA INPUT'!$A$3:$A$3000,"&gt;="&amp;DATE(2018,4,1),'DATA INPUT'!$A$3:$A$3000,"&lt;"&amp;DATE(2018,4,31),'DATA INPUT'!$F$3:$F$3000,"&lt;&gt;*Exclude*")),#N/A))</f>
        <v>#N/A</v>
      </c>
      <c r="AS18" s="117" t="e">
        <f>IF($L$2="Yes",IFERROR((SUMIFS('DATA INPUT'!$E$3:$E$3000,'DATA INPUT'!$B$3:$B$3000,'Report Tables'!AS$1,'DATA INPUT'!$A$3:$A$3000,"&gt;="&amp;DATE(2018,4,1),'DATA INPUT'!$A$3:$A$3000,"&lt;"&amp;DATE(2018,4,31)))/COUNTIFS('DATA INPUT'!$B$3:$B$3000,'Report Tables'!AS$1,'DATA INPUT'!$A$3:$A$3000,"&gt;="&amp;DATE(2018,4,1),'DATA INPUT'!$A$3:$A$3000,"&lt;"&amp;DATE(2018,4,31)),#N/A),IFERROR((SUMIFS('DATA INPUT'!$E$3:$E$3000,'DATA INPUT'!$B$3:$B$3000,'Report Tables'!AS$1,'DATA INPUT'!$A$3:$A$3000,"&gt;="&amp;DATE(2018,4,1),'DATA INPUT'!$A$3:$A$3000,"&lt;"&amp;DATE(2018,4,31),'DATA INPUT'!$F$3:$F$3000,"&lt;&gt;*Exclude*"))/(COUNTIFS('DATA INPUT'!$B$3:$B$3000,'Report Tables'!AS$1,'DATA INPUT'!$A$3:$A$3000,"&gt;="&amp;DATE(2018,4,1),'DATA INPUT'!$A$3:$A$3000,"&lt;"&amp;DATE(2018,4,31),'DATA INPUT'!$F$3:$F$3000,"&lt;&gt;*Exclude*")),#N/A))</f>
        <v>#N/A</v>
      </c>
      <c r="AT18" s="117" t="e">
        <f>IF($L$2="Yes",IFERROR((SUMIFS('DATA INPUT'!$E$3:$E$3000,'DATA INPUT'!$B$3:$B$3000,'Report Tables'!AT$1,'DATA INPUT'!$A$3:$A$3000,"&gt;="&amp;DATE(2018,4,1),'DATA INPUT'!$A$3:$A$3000,"&lt;"&amp;DATE(2018,4,31)))/COUNTIFS('DATA INPUT'!$B$3:$B$3000,'Report Tables'!AT$1,'DATA INPUT'!$A$3:$A$3000,"&gt;="&amp;DATE(2018,4,1),'DATA INPUT'!$A$3:$A$3000,"&lt;"&amp;DATE(2018,4,31)),#N/A),IFERROR((SUMIFS('DATA INPUT'!$E$3:$E$3000,'DATA INPUT'!$B$3:$B$3000,'Report Tables'!AT$1,'DATA INPUT'!$A$3:$A$3000,"&gt;="&amp;DATE(2018,4,1),'DATA INPUT'!$A$3:$A$3000,"&lt;"&amp;DATE(2018,4,31),'DATA INPUT'!$F$3:$F$3000,"&lt;&gt;*Exclude*"))/(COUNTIFS('DATA INPUT'!$B$3:$B$3000,'Report Tables'!AT$1,'DATA INPUT'!$A$3:$A$3000,"&gt;="&amp;DATE(2018,4,1),'DATA INPUT'!$A$3:$A$3000,"&lt;"&amp;DATE(2018,4,31),'DATA INPUT'!$F$3:$F$3000,"&lt;&gt;*Exclude*")),#N/A))</f>
        <v>#N/A</v>
      </c>
      <c r="AU18" s="117" t="e">
        <f t="shared" si="1"/>
        <v>#N/A</v>
      </c>
      <c r="AV18" s="117" t="e">
        <f>IF($L$2="Yes",IFERROR((SUMIFS('DATA INPUT'!$D$3:$D$3000,'DATA INPUT'!$A$3:$A$3000,"&gt;="&amp;DATE(2018,4,1),'DATA INPUT'!$A$3:$A$3000,"&lt;"&amp;DATE(2018,4,31),'DATA INPUT'!$G$3:$G$3000,"&lt;&gt;*School service*"))/COUNTIFS('DATA INPUT'!$A$3:$A$3000,"&gt;="&amp;DATE(2018,4,1),'DATA INPUT'!$A$3:$A$3000,"&lt;"&amp;DATE(2018,4,31),'DATA INPUT'!$G$3:$G$3000,"&lt;&gt;*School service*",'DATA INPUT'!$D$3:$D$3000,"&lt;&gt;"&amp;""),#N/A),IFERROR((SUMIFS('DATA INPUT'!$D$3:$D$3000,'DATA INPUT'!$A$3:$A$3000,"&gt;="&amp;DATE(2018,4,1),'DATA INPUT'!$A$3:$A$3000,"&lt;"&amp;DATE(2018,4,31),'DATA INPUT'!$F$3:$F$3000,"&lt;&gt;*Exclude*",'DATA INPUT'!$G$3:$G$3000,"&lt;&gt;*School service*"))/(COUNTIFS('DATA INPUT'!$A$3:$A$3000,"&gt;="&amp;DATE(2018,4,1),'DATA INPUT'!$A$3:$A$3000,"&lt;"&amp;DATE(2018,4,31),'DATA INPUT'!$F$3:$F$3000,"&lt;&gt;*Exclude*",'DATA INPUT'!$G$3:$G$3000,"&lt;&gt;*School service*",'DATA INPUT'!$D$3:$D$3000,"&lt;&gt;"&amp;"")),#N/A))</f>
        <v>#N/A</v>
      </c>
      <c r="AW18" s="117" t="e">
        <f t="shared" si="2"/>
        <v>#N/A</v>
      </c>
      <c r="AX18" s="117" t="e">
        <f>IF($L$2="Yes",IFERROR((SUMIFS('DATA INPUT'!$E$3:$E$3000,'DATA INPUT'!$B$3:$B$3000,'Report Tables'!AX$1,'DATA INPUT'!$A$3:$A$3000,"&gt;="&amp;DATE(2018,4,1),'DATA INPUT'!$A$3:$A$3000,"&lt;"&amp;DATE(2018,4,31)))/COUNTIFS('DATA INPUT'!$B$3:$B$3000,'Report Tables'!AX$1,'DATA INPUT'!$A$3:$A$3000,"&gt;="&amp;DATE(2018,4,1),'DATA INPUT'!$A$3:$A$3000,"&lt;"&amp;DATE(2018,4,31)),#N/A),IFERROR((SUMIFS('DATA INPUT'!$E$3:$E$3000,'DATA INPUT'!$B$3:$B$3000,'Report Tables'!AX$1,'DATA INPUT'!$A$3:$A$3000,"&gt;="&amp;DATE(2018,4,1),'DATA INPUT'!$A$3:$A$3000,"&lt;"&amp;DATE(2018,4,31),'DATA INPUT'!$F$3:$F$3000,"&lt;&gt;*Exclude*"))/(COUNTIFS('DATA INPUT'!$B$3:$B$3000,'Report Tables'!AX$1,'DATA INPUT'!$A$3:$A$3000,"&gt;="&amp;DATE(2018,4,1),'DATA INPUT'!$A$3:$A$3000,"&lt;"&amp;DATE(2018,4,31),'DATA INPUT'!$F$3:$F$3000,"&lt;&gt;*Exclude*")),#N/A))</f>
        <v>#N/A</v>
      </c>
      <c r="AY18" s="117" t="e">
        <f>IF($L$2="Yes",IFERROR((SUMIFS('DATA INPUT'!$D$3:$D$3000,'DATA INPUT'!$B$3:$B$3000,'Report Tables'!AX$1,'DATA INPUT'!$A$3:$A$3000,"&gt;="&amp;DATE(2018,4,1),'DATA INPUT'!$A$3:$A$3000,"&lt;"&amp;DATE(2018,4,31)))/COUNTIFS('DATA INPUT'!$B$3:$B$3000,'Report Tables'!AX$1,'DATA INPUT'!$A$3:$A$3000,"&gt;="&amp;DATE(2018,4,1),'DATA INPUT'!$A$3:$A$3000,"&lt;"&amp;DATE(2018,4,31)),#N/A),IFERROR((SUMIFS('DATA INPUT'!$D$3:$D$3000,'DATA INPUT'!$B$3:$B$3000,'Report Tables'!AX$1,'DATA INPUT'!$A$3:$A$3000,"&gt;="&amp;DATE(2018,4,1),'DATA INPUT'!$A$3:$A$3000,"&lt;"&amp;DATE(2018,4,31),'DATA INPUT'!$F$3:$F$3000,"&lt;&gt;*Exclude*"))/(COUNTIFS('DATA INPUT'!$B$3:$B$3000,'Report Tables'!AX$1,'DATA INPUT'!$A$3:$A$3000,"&gt;="&amp;DATE(2018,4,1),'DATA INPUT'!$A$3:$A$3000,"&lt;"&amp;DATE(2018,4,31),'DATA INPUT'!$F$3:$F$3000,"&lt;&gt;*Exclude*")),#N/A))</f>
        <v>#N/A</v>
      </c>
      <c r="AZ18" s="117" t="e">
        <f>IF($L$2="Yes",IFERROR((SUMIFS('DATA INPUT'!$C$3:$C$3000,'DATA INPUT'!$B$3:$B$3000,'Report Tables'!AX$1,'DATA INPUT'!$A$3:$A$3000,"&gt;="&amp;DATE(2018,4,1),'DATA INPUT'!$A$3:$A$3000,"&lt;"&amp;DATE(2018,4,31)))/COUNTIFS('DATA INPUT'!$B$3:$B$3000,'Report Tables'!AX$1,'DATA INPUT'!$A$3:$A$3000,"&gt;="&amp;DATE(2018,4,1),'DATA INPUT'!$A$3:$A$3000,"&lt;"&amp;DATE(2018,4,31)),#N/A),IFERROR((SUMIFS('DATA INPUT'!$C$3:$C$3000,'DATA INPUT'!$B$3:$B$3000,'Report Tables'!AX$1,'DATA INPUT'!$A$3:$A$3000,"&gt;="&amp;DATE(2018,4,1),'DATA INPUT'!$A$3:$A$3000,"&lt;"&amp;DATE(2018,4,31),'DATA INPUT'!$F$3:$F$3000,"&lt;&gt;*Exclude*"))/(COUNTIFS('DATA INPUT'!$B$3:$B$3000,'Report Tables'!AX$1,'DATA INPUT'!$A$3:$A$3000,"&gt;="&amp;DATE(2018,4,1),'DATA INPUT'!$A$3:$A$3000,"&lt;"&amp;DATE(2018,4,31),'DATA INPUT'!$F$3:$F$3000,"&lt;&gt;*Exclude*")),#N/A))</f>
        <v>#N/A</v>
      </c>
    </row>
    <row r="19" spans="1:52" x14ac:dyDescent="0.3">
      <c r="A19" s="95" t="e">
        <f>VLOOKUP(B19,Information!$C$8:$F$15,4,FALSE)</f>
        <v>#N/A</v>
      </c>
      <c r="B19" s="52">
        <f>$B$7</f>
        <v>0</v>
      </c>
      <c r="C19" s="59">
        <f>IF($L$2="Yes",IFERROR((SUMIFS('DATA INPUT'!$E$3:$E$3000,'DATA INPUT'!$A$3:$A$3000,"&gt;="&amp;DATE(2017,1,1),'DATA INPUT'!$A$3:$A$3000,"&lt;="&amp;DATE(2017,12,31),'DATA INPUT'!$B$3:$B$3000,$B19)),#N/A),IFERROR((SUMIFS('DATA INPUT'!$E$3:$E$3000,'DATA INPUT'!$A$3:$A$3000,"&gt;="&amp;DATE(2017,1,1),'DATA INPUT'!$A$3:$A$3000,"&lt;="&amp;DATE(2017,12,31),'DATA INPUT'!$B$3:$B$3000,$B19,'DATA INPUT'!$F$3:$F$3000,"&lt;&gt;*Exclude*")),#N/A))</f>
        <v>0</v>
      </c>
      <c r="D19" s="59">
        <f>IF($L$2="Yes",IFERROR((SUMIFS('DATA INPUT'!$E$3:$E$3000,'DATA INPUT'!$A$3:$A$3000,"&gt;="&amp;DATE(2018,1,1),'DATA INPUT'!$A$3:$A$3000,"&lt;="&amp;DATE(2018,12,31),'DATA INPUT'!$B$3:$B$3000,$B19)),#N/A),IFERROR((SUMIFS('DATA INPUT'!$E$3:$E$3000,'DATA INPUT'!$A$3:$A$3000,"&gt;="&amp;DATE(2018,1,1),'DATA INPUT'!$A$3:$A$3000,"&lt;="&amp;DATE(2018,12,31),'DATA INPUT'!$B$3:$B$3000,$B19,'DATA INPUT'!$F$3:$F$3000,"&lt;&gt;*Exclude*")),#N/A))</f>
        <v>0</v>
      </c>
      <c r="E19" s="59">
        <f>IF($L$2="Yes",IFERROR((SUMIFS('DATA INPUT'!$E$3:$E$3000,'DATA INPUT'!$A$3:$A$3000,"&gt;="&amp;DATE(2019,1,1),'DATA INPUT'!$A$3:$A$3000,"&lt;="&amp;DATE(2019,12,31),'DATA INPUT'!$B$3:$B$3000,$B19)),#N/A),IFERROR((SUMIFS('DATA INPUT'!$E$3:$E$3000,'DATA INPUT'!$A$3:$A$3000,"&gt;="&amp;DATE(2019,1,1),'DATA INPUT'!$A$3:$A$3000,"&lt;="&amp;DATE(2019,12,31),'DATA INPUT'!$B$3:$B$3000,$B19,'DATA INPUT'!$F$3:$F$3000,"&lt;&gt;*Exclude*")),#N/A))</f>
        <v>0</v>
      </c>
      <c r="F19" s="59">
        <f>IF($L$2="Yes",IFERROR((SUMIFS('DATA INPUT'!$E$3:$E$3000,'DATA INPUT'!$A$3:$A$3000,"&gt;="&amp;DATE(2020,1,1),'DATA INPUT'!$A$3:$A$3000,"&lt;="&amp;DATE(2020,12,31),'DATA INPUT'!$B$3:$B$3000,$B19)),#N/A),IFERROR((SUMIFS('DATA INPUT'!$E$3:$E$3000,'DATA INPUT'!$A$3:$A$3000,"&gt;="&amp;DATE(2020,1,1),'DATA INPUT'!$A$3:$A$3000,"&lt;="&amp;DATE(2020,12,31),'DATA INPUT'!$B$3:$B$3000,$B19,'DATA INPUT'!$F$3:$F$3000,"&lt;&gt;*Exclude*")),#N/A))</f>
        <v>0</v>
      </c>
      <c r="G19" s="59">
        <f>IF($L$2="Yes",IFERROR((SUMIFS('DATA INPUT'!$E$3:$E$3000,'DATA INPUT'!$A$3:$A$3000,"&gt;="&amp;DATE(2021,1,1),'DATA INPUT'!$A$3:$A$3000,"&lt;="&amp;DATE(2021,12,31),'DATA INPUT'!$B$3:$B$3000,$B19)),#N/A),IFERROR((SUMIFS('DATA INPUT'!$E$3:$E$3000,'DATA INPUT'!$A$3:$A$3000,"&gt;="&amp;DATE(2021,1,1),'DATA INPUT'!$A$3:$A$3000,"&lt;="&amp;DATE(2021,12,31),'DATA INPUT'!$B$3:$B$3000,$B19,'DATA INPUT'!$F$3:$F$3000,"&lt;&gt;*Exclude*")),#N/A))</f>
        <v>0</v>
      </c>
      <c r="H19" s="59">
        <f>IF($L$2="Yes",IFERROR((SUMIFS('DATA INPUT'!$E$3:$E$3000,'DATA INPUT'!$A$3:$A$3000,"&gt;="&amp;DATE(2022,1,1),'DATA INPUT'!$A$3:$A$3000,"&lt;="&amp;DATE(2022,12,31),'DATA INPUT'!$B$3:$B$3000,$B19)),#N/A),IFERROR((SUMIFS('DATA INPUT'!$E$3:$E$3000,'DATA INPUT'!$A$3:$A$3000,"&gt;="&amp;DATE(2022,1,1),'DATA INPUT'!$A$3:$A$3000,"&lt;="&amp;DATE(2022,12,31),'DATA INPUT'!$B$3:$B$3000,$B19,'DATA INPUT'!$F$3:$F$3000,"&lt;&gt;*Exclude*")),#N/A))</f>
        <v>0</v>
      </c>
      <c r="I19" s="59">
        <f>IF($L$2="Yes",IFERROR((SUMIFS('DATA INPUT'!$E$3:$E$3000,'DATA INPUT'!$A$3:$A$3000,"&gt;="&amp;DATE(2023,1,1),'DATA INPUT'!$A$3:$A$3000,"&lt;="&amp;DATE(2023,12,31),'DATA INPUT'!$B$3:$B$3000,$B19)),#N/A),IFERROR((SUMIFS('DATA INPUT'!$E$3:$E$3000,'DATA INPUT'!$A$3:$A$3000,"&gt;="&amp;DATE(2023,1,1),'DATA INPUT'!$A$3:$A$3000,"&lt;="&amp;DATE(2023,12,31),'DATA INPUT'!$B$3:$B$3000,$B19,'DATA INPUT'!$F$3:$F$3000,"&lt;&gt;*Exclude*")),#N/A))</f>
        <v>0</v>
      </c>
      <c r="J19" s="59">
        <f>IF($L$2="Yes",IFERROR((SUMIFS('DATA INPUT'!$E$3:$E$3000,'DATA INPUT'!$A$3:$A$3000,"&gt;="&amp;DATE(2024,1,1),'DATA INPUT'!$A$3:$A$3000,"&lt;="&amp;DATE(2024,12,31),'DATA INPUT'!$B$3:$B$3000,$B19)),#N/A),IFERROR((SUMIFS('DATA INPUT'!$E$3:$E$3000,'DATA INPUT'!$A$3:$A$3000,"&gt;="&amp;DATE(2024,1,1),'DATA INPUT'!$A$3:$A$3000,"&lt;="&amp;DATE(2024,12,31),'DATA INPUT'!$B$3:$B$3000,$B19,'DATA INPUT'!$F$3:$F$3000,"&lt;&gt;*Exclude*")),#N/A))</f>
        <v>0</v>
      </c>
      <c r="K19" s="59">
        <f>IF($L$2="Yes",IFERROR((SUMIFS('DATA INPUT'!$E$3:$E$3000,'DATA INPUT'!$A$3:$A$3000,"&gt;="&amp;DATE(2025,1,1),'DATA INPUT'!$A$3:$A$3000,"&lt;="&amp;DATE(2025,12,31),'DATA INPUT'!$B$3:$B$3000,$B19)),#N/A),IFERROR((SUMIFS('DATA INPUT'!$E$3:$E$3000,'DATA INPUT'!$A$3:$A$3000,"&gt;="&amp;DATE(2025,1,1),'DATA INPUT'!$A$3:$A$3000,"&lt;="&amp;DATE(2025,12,31),'DATA INPUT'!$B$3:$B$3000,$B19,'DATA INPUT'!$F$3:$F$3000,"&lt;&gt;*Exclude*")),#N/A))</f>
        <v>0</v>
      </c>
      <c r="L19" s="103">
        <f t="shared" si="8"/>
        <v>0</v>
      </c>
      <c r="M19" s="105" t="str">
        <f t="shared" si="9"/>
        <v/>
      </c>
      <c r="Y19" s="149"/>
      <c r="Z19" s="149" t="s">
        <v>16</v>
      </c>
      <c r="AA19" s="136" t="e">
        <f>IF($L$2="Yes",IF(SUMIFS('DATA INPUT'!$E$3:$E$3000,'DATA INPUT'!$B$3:$B$3000,'Report Tables'!AA$1,'DATA INPUT'!$A$3:$A$3000,"&gt;="&amp;DATE(2018,5,1),'DATA INPUT'!$A$3:$A$3000,"&lt;"&amp;DATE(2018,5,31))=0,#N/A,(SUMIFS('DATA INPUT'!$E$3:$E$3000,'DATA INPUT'!$B$3:$B$3000,'Report Tables'!AA$1,'DATA INPUT'!$A$3:$A$3000,"&gt;="&amp;DATE(2018,5,1),'DATA INPUT'!$A$3:$A$3000,"&lt;"&amp;DATE(2018,5,31)))),IF(SUMIFS('DATA INPUT'!$E$3:$E$3000,'DATA INPUT'!$B$3:$B$3000,'Report Tables'!AA$1,'DATA INPUT'!$A$3:$A$3000,"&gt;="&amp;DATE(2018,5,1),'DATA INPUT'!$A$3:$A$3000,"&lt;"&amp;DATE(2018,5,31),'DATA INPUT'!$F$3:$F$3000,"&lt;&gt;*Exclude*")=0,#N/A,(SUMIFS('DATA INPUT'!$E$3:$E$3000,'DATA INPUT'!$B$3:$B$3000,'Report Tables'!AA$1,'DATA INPUT'!$A$3:$A$3000,"&gt;="&amp;DATE(2018,5,1),'DATA INPUT'!$A$3:$A$3000,"&lt;"&amp;DATE(2018,5,31),'DATA INPUT'!$F$3:$F$3000,"&lt;&gt;*Exclude*"))))</f>
        <v>#N/A</v>
      </c>
      <c r="AB19" s="136" t="e">
        <f>IF($L$2="Yes",IF(SUMIFS('DATA INPUT'!$E$3:$E$3000,'DATA INPUT'!$B$3:$B$3000,'Report Tables'!AB$1,'DATA INPUT'!$A$3:$A$3000,"&gt;="&amp;DATE(2018,5,1),'DATA INPUT'!$A$3:$A$3000,"&lt;"&amp;DATE(2018,5,31))=0,#N/A,(SUMIFS('DATA INPUT'!$E$3:$E$3000,'DATA INPUT'!$B$3:$B$3000,'Report Tables'!AB$1,'DATA INPUT'!$A$3:$A$3000,"&gt;="&amp;DATE(2018,5,1),'DATA INPUT'!$A$3:$A$3000,"&lt;"&amp;DATE(2018,5,31)))),IF(SUMIFS('DATA INPUT'!$E$3:$E$3000,'DATA INPUT'!$B$3:$B$3000,'Report Tables'!AB$1,'DATA INPUT'!$A$3:$A$3000,"&gt;="&amp;DATE(2018,5,1),'DATA INPUT'!$A$3:$A$3000,"&lt;"&amp;DATE(2018,5,31),'DATA INPUT'!$F$3:$F$3000,"&lt;&gt;*Exclude*")=0,#N/A,(SUMIFS('DATA INPUT'!$E$3:$E$3000,'DATA INPUT'!$B$3:$B$3000,'Report Tables'!AB$1,'DATA INPUT'!$A$3:$A$3000,"&gt;="&amp;DATE(2018,5,1),'DATA INPUT'!$A$3:$A$3000,"&lt;"&amp;DATE(2018,5,31),'DATA INPUT'!$F$3:$F$3000,"&lt;&gt;*Exclude*"))))</f>
        <v>#N/A</v>
      </c>
      <c r="AC19" s="136" t="e">
        <f>IF($L$2="Yes",IF(SUMIFS('DATA INPUT'!$E$3:$E$3000,'DATA INPUT'!$B$3:$B$3000,'Report Tables'!AC$1,'DATA INPUT'!$A$3:$A$3000,"&gt;="&amp;DATE(2018,5,1),'DATA INPUT'!$A$3:$A$3000,"&lt;"&amp;DATE(2018,5,31))=0,#N/A,(SUMIFS('DATA INPUT'!$E$3:$E$3000,'DATA INPUT'!$B$3:$B$3000,'Report Tables'!AC$1,'DATA INPUT'!$A$3:$A$3000,"&gt;="&amp;DATE(2018,5,1),'DATA INPUT'!$A$3:$A$3000,"&lt;"&amp;DATE(2018,5,31)))),IF(SUMIFS('DATA INPUT'!$E$3:$E$3000,'DATA INPUT'!$B$3:$B$3000,'Report Tables'!AC$1,'DATA INPUT'!$A$3:$A$3000,"&gt;="&amp;DATE(2018,5,1),'DATA INPUT'!$A$3:$A$3000,"&lt;"&amp;DATE(2018,5,31),'DATA INPUT'!$F$3:$F$3000,"&lt;&gt;*Exclude*")=0,#N/A,(SUMIFS('DATA INPUT'!$E$3:$E$3000,'DATA INPUT'!$B$3:$B$3000,'Report Tables'!AC$1,'DATA INPUT'!$A$3:$A$3000,"&gt;="&amp;DATE(2018,5,1),'DATA INPUT'!$A$3:$A$3000,"&lt;"&amp;DATE(2018,5,31),'DATA INPUT'!$F$3:$F$3000,"&lt;&gt;*Exclude*"))))</f>
        <v>#N/A</v>
      </c>
      <c r="AD19" s="136" t="e">
        <f>IF($L$2="Yes",IF(SUMIFS('DATA INPUT'!$E$3:$E$3000,'DATA INPUT'!$B$3:$B$3000,'Report Tables'!AD$1,'DATA INPUT'!$A$3:$A$3000,"&gt;="&amp;DATE(2018,5,1),'DATA INPUT'!$A$3:$A$3000,"&lt;"&amp;DATE(2018,5,31))=0,#N/A,(SUMIFS('DATA INPUT'!$E$3:$E$3000,'DATA INPUT'!$B$3:$B$3000,'Report Tables'!AD$1,'DATA INPUT'!$A$3:$A$3000,"&gt;="&amp;DATE(2018,5,1),'DATA INPUT'!$A$3:$A$3000,"&lt;"&amp;DATE(2018,5,31)))),IF(SUMIFS('DATA INPUT'!$E$3:$E$3000,'DATA INPUT'!$B$3:$B$3000,'Report Tables'!AD$1,'DATA INPUT'!$A$3:$A$3000,"&gt;="&amp;DATE(2018,5,1),'DATA INPUT'!$A$3:$A$3000,"&lt;"&amp;DATE(2018,5,31),'DATA INPUT'!$F$3:$F$3000,"&lt;&gt;*Exclude*")=0,#N/A,(SUMIFS('DATA INPUT'!$E$3:$E$3000,'DATA INPUT'!$B$3:$B$3000,'Report Tables'!AD$1,'DATA INPUT'!$A$3:$A$3000,"&gt;="&amp;DATE(2018,5,1),'DATA INPUT'!$A$3:$A$3000,"&lt;"&amp;DATE(2018,5,31),'DATA INPUT'!$F$3:$F$3000,"&lt;&gt;*Exclude*"))))</f>
        <v>#N/A</v>
      </c>
      <c r="AE19" s="136" t="e">
        <f>IF($L$2="Yes",IF(SUMIFS('DATA INPUT'!$E$3:$E$3000,'DATA INPUT'!$B$3:$B$3000,'Report Tables'!AE$1,'DATA INPUT'!$A$3:$A$3000,"&gt;="&amp;DATE(2018,5,1),'DATA INPUT'!$A$3:$A$3000,"&lt;"&amp;DATE(2018,5,31))=0,#N/A,(SUMIFS('DATA INPUT'!$E$3:$E$3000,'DATA INPUT'!$B$3:$B$3000,'Report Tables'!AE$1,'DATA INPUT'!$A$3:$A$3000,"&gt;="&amp;DATE(2018,5,1),'DATA INPUT'!$A$3:$A$3000,"&lt;"&amp;DATE(2018,5,31)))),IF(SUMIFS('DATA INPUT'!$E$3:$E$3000,'DATA INPUT'!$B$3:$B$3000,'Report Tables'!AE$1,'DATA INPUT'!$A$3:$A$3000,"&gt;="&amp;DATE(2018,5,1),'DATA INPUT'!$A$3:$A$3000,"&lt;"&amp;DATE(2018,5,31),'DATA INPUT'!$F$3:$F$3000,"&lt;&gt;*Exclude*")=0,#N/A,(SUMIFS('DATA INPUT'!$E$3:$E$3000,'DATA INPUT'!$B$3:$B$3000,'Report Tables'!AE$1,'DATA INPUT'!$A$3:$A$3000,"&gt;="&amp;DATE(2018,5,1),'DATA INPUT'!$A$3:$A$3000,"&lt;"&amp;DATE(2018,5,31),'DATA INPUT'!$F$3:$F$3000,"&lt;&gt;*Exclude*"))))</f>
        <v>#N/A</v>
      </c>
      <c r="AF19" s="136" t="e">
        <f>IF($L$2="Yes",IF(SUMIFS('DATA INPUT'!$E$3:$E$3000,'DATA INPUT'!$B$3:$B$3000,'Report Tables'!AF$1,'DATA INPUT'!$A$3:$A$3000,"&gt;="&amp;DATE(2018,5,1),'DATA INPUT'!$A$3:$A$3000,"&lt;"&amp;DATE(2018,5,31))=0,#N/A,(SUMIFS('DATA INPUT'!$E$3:$E$3000,'DATA INPUT'!$B$3:$B$3000,'Report Tables'!AF$1,'DATA INPUT'!$A$3:$A$3000,"&gt;="&amp;DATE(2018,5,1),'DATA INPUT'!$A$3:$A$3000,"&lt;"&amp;DATE(2018,5,31)))),IF(SUMIFS('DATA INPUT'!$E$3:$E$3000,'DATA INPUT'!$B$3:$B$3000,'Report Tables'!AF$1,'DATA INPUT'!$A$3:$A$3000,"&gt;="&amp;DATE(2018,5,1),'DATA INPUT'!$A$3:$A$3000,"&lt;"&amp;DATE(2018,5,31),'DATA INPUT'!$F$3:$F$3000,"&lt;&gt;*Exclude*")=0,#N/A,(SUMIFS('DATA INPUT'!$E$3:$E$3000,'DATA INPUT'!$B$3:$B$3000,'Report Tables'!AF$1,'DATA INPUT'!$A$3:$A$3000,"&gt;="&amp;DATE(2018,5,1),'DATA INPUT'!$A$3:$A$3000,"&lt;"&amp;DATE(2018,5,31),'DATA INPUT'!$F$3:$F$3000,"&lt;&gt;*Exclude*"))))</f>
        <v>#N/A</v>
      </c>
      <c r="AG19" s="136" t="e">
        <f>IF($L$2="Yes",IF(SUMIFS('DATA INPUT'!$E$3:$E$3000,'DATA INPUT'!$B$3:$B$3000,'Report Tables'!AG$1,'DATA INPUT'!$A$3:$A$3000,"&gt;="&amp;DATE(2018,5,1),'DATA INPUT'!$A$3:$A$3000,"&lt;"&amp;DATE(2018,5,31))=0,#N/A,(SUMIFS('DATA INPUT'!$E$3:$E$3000,'DATA INPUT'!$B$3:$B$3000,'Report Tables'!AG$1,'DATA INPUT'!$A$3:$A$3000,"&gt;="&amp;DATE(2018,5,1),'DATA INPUT'!$A$3:$A$3000,"&lt;"&amp;DATE(2018,5,31)))),IF(SUMIFS('DATA INPUT'!$E$3:$E$3000,'DATA INPUT'!$B$3:$B$3000,'Report Tables'!AG$1,'DATA INPUT'!$A$3:$A$3000,"&gt;="&amp;DATE(2018,5,1),'DATA INPUT'!$A$3:$A$3000,"&lt;"&amp;DATE(2018,5,31),'DATA INPUT'!$F$3:$F$3000,"&lt;&gt;*Exclude*")=0,#N/A,(SUMIFS('DATA INPUT'!$E$3:$E$3000,'DATA INPUT'!$B$3:$B$3000,'Report Tables'!AG$1,'DATA INPUT'!$A$3:$A$3000,"&gt;="&amp;DATE(2018,5,1),'DATA INPUT'!$A$3:$A$3000,"&lt;"&amp;DATE(2018,5,31),'DATA INPUT'!$F$3:$F$3000,"&lt;&gt;*Exclude*"))))</f>
        <v>#N/A</v>
      </c>
      <c r="AH19" s="136" t="e">
        <f>IF($L$2="Yes",IF(SUMIFS('DATA INPUT'!$E$3:$E$3000,'DATA INPUT'!$B$3:$B$3000,'Report Tables'!AH$1,'DATA INPUT'!$A$3:$A$3000,"&gt;="&amp;DATE(2018,5,1),'DATA INPUT'!$A$3:$A$3000,"&lt;"&amp;DATE(2018,5,31))=0,#N/A,(SUMIFS('DATA INPUT'!$E$3:$E$3000,'DATA INPUT'!$B$3:$B$3000,'Report Tables'!AH$1,'DATA INPUT'!$A$3:$A$3000,"&gt;="&amp;DATE(2018,5,1),'DATA INPUT'!$A$3:$A$3000,"&lt;"&amp;DATE(2018,5,31)))),IF(SUMIFS('DATA INPUT'!$E$3:$E$3000,'DATA INPUT'!$B$3:$B$3000,'Report Tables'!AH$1,'DATA INPUT'!$A$3:$A$3000,"&gt;="&amp;DATE(2018,5,1),'DATA INPUT'!$A$3:$A$3000,"&lt;"&amp;DATE(2018,5,31),'DATA INPUT'!$F$3:$F$3000,"&lt;&gt;*Exclude*")=0,#N/A,(SUMIFS('DATA INPUT'!$E$3:$E$3000,'DATA INPUT'!$B$3:$B$3000,'Report Tables'!AH$1,'DATA INPUT'!$A$3:$A$3000,"&gt;="&amp;DATE(2018,5,1),'DATA INPUT'!$A$3:$A$3000,"&lt;"&amp;DATE(2018,5,31),'DATA INPUT'!$F$3:$F$3000,"&lt;&gt;*Exclude*"))))</f>
        <v>#N/A</v>
      </c>
      <c r="AI19" s="136" t="e">
        <f t="shared" si="0"/>
        <v>#N/A</v>
      </c>
      <c r="AJ19" s="136" t="e">
        <f>IF($L$2="Yes",IF(SUMIFS('DATA INPUT'!$D$3:$D$3000,'DATA INPUT'!$A$3:$A$3000,"&gt;="&amp;DATE(2018,5,1),'DATA INPUT'!$A$3:$A$3000,"&lt;"&amp;DATE(2018,5,31),'DATA INPUT'!$G$3:$G$3000,"&lt;&gt;*School service*")=0,#N/A,(SUMIFS('DATA INPUT'!$D$3:$D$3000,'DATA INPUT'!$A$3:$A$3000,"&gt;="&amp;DATE(2018,5,1),'DATA INPUT'!$A$3:$A$3000,"&lt;"&amp;DATE(2018,5,31),'DATA INPUT'!$G$3:$G$3000,"&lt;&gt;*School service*"))),IF(SUMIFS('DATA INPUT'!$D$3:$D$3000,'DATA INPUT'!$A$3:$A$3000,"&gt;="&amp;DATE(2018,5,1),'DATA INPUT'!$A$3:$A$3000,"&lt;"&amp;DATE(2018,5,31),'DATA INPUT'!$F$3:$F$3000,"&lt;&gt;*Exclude*",'DATA INPUT'!$G$3:$G$3000,"&lt;&gt;*School service*")=0,#N/A,(SUMIFS('DATA INPUT'!$D$3:$D$3000,'DATA INPUT'!$A$3:$A$3000,"&gt;="&amp;DATE(2018,5,1),'DATA INPUT'!$A$3:$A$3000,"&lt;"&amp;DATE(2018,5,31),'DATA INPUT'!$F$3:$F$3000,"&lt;&gt;*Exclude*",'DATA INPUT'!$G$3:$G$3000,"&lt;&gt;*School service*"))))</f>
        <v>#N/A</v>
      </c>
      <c r="AK19" s="136" t="e">
        <f>AI19-AJ19</f>
        <v>#N/A</v>
      </c>
      <c r="AM19" s="117" t="e">
        <f>IF($L$2="Yes",IFERROR((SUMIFS('DATA INPUT'!$E$3:$E$3000,'DATA INPUT'!$B$3:$B$3000,'Report Tables'!AM$1,'DATA INPUT'!$A$3:$A$3000,"&gt;="&amp;DATE(2018,5,1),'DATA INPUT'!$A$3:$A$3000,"&lt;"&amp;DATE(2018,5,31)))/COUNTIFS('DATA INPUT'!$B$3:$B$3000,'Report Tables'!AM$1,'DATA INPUT'!$A$3:$A$3000,"&gt;="&amp;DATE(2018,5,1),'DATA INPUT'!$A$3:$A$3000,"&lt;"&amp;DATE(2018,5,31)),#N/A),IFERROR((SUMIFS('DATA INPUT'!$E$3:$E$3000,'DATA INPUT'!$B$3:$B$3000,'Report Tables'!AM$1,'DATA INPUT'!$A$3:$A$3000,"&gt;="&amp;DATE(2018,5,1),'DATA INPUT'!$A$3:$A$3000,"&lt;"&amp;DATE(2018,5,31),'DATA INPUT'!$F$3:$F$3000,"&lt;&gt;*Exclude*"))/(COUNTIFS('DATA INPUT'!$B$3:$B$3000,'Report Tables'!AM$1,'DATA INPUT'!$A$3:$A$3000,"&gt;="&amp;DATE(2018,5,1),'DATA INPUT'!$A$3:$A$3000,"&lt;"&amp;DATE(2018,5,31),'DATA INPUT'!$F$3:$F$3000,"&lt;&gt;*Exclude*")),#N/A))</f>
        <v>#N/A</v>
      </c>
      <c r="AN19" s="117" t="e">
        <f>IF($L$2="Yes",IFERROR((SUMIFS('DATA INPUT'!$E$3:$E$3000,'DATA INPUT'!$B$3:$B$3000,'Report Tables'!AN$1,'DATA INPUT'!$A$3:$A$3000,"&gt;="&amp;DATE(2018,5,1),'DATA INPUT'!$A$3:$A$3000,"&lt;"&amp;DATE(2018,5,31)))/COUNTIFS('DATA INPUT'!$B$3:$B$3000,'Report Tables'!AN$1,'DATA INPUT'!$A$3:$A$3000,"&gt;="&amp;DATE(2018,5,1),'DATA INPUT'!$A$3:$A$3000,"&lt;"&amp;DATE(2018,5,31)),#N/A),IFERROR((SUMIFS('DATA INPUT'!$E$3:$E$3000,'DATA INPUT'!$B$3:$B$3000,'Report Tables'!AN$1,'DATA INPUT'!$A$3:$A$3000,"&gt;="&amp;DATE(2018,5,1),'DATA INPUT'!$A$3:$A$3000,"&lt;"&amp;DATE(2018,5,31),'DATA INPUT'!$F$3:$F$3000,"&lt;&gt;*Exclude*"))/(COUNTIFS('DATA INPUT'!$B$3:$B$3000,'Report Tables'!AN$1,'DATA INPUT'!$A$3:$A$3000,"&gt;="&amp;DATE(2018,5,1),'DATA INPUT'!$A$3:$A$3000,"&lt;"&amp;DATE(2018,5,31),'DATA INPUT'!$F$3:$F$3000,"&lt;&gt;*Exclude*")),#N/A))</f>
        <v>#N/A</v>
      </c>
      <c r="AO19" s="117" t="e">
        <f>IF($L$2="Yes",IFERROR((SUMIFS('DATA INPUT'!$E$3:$E$3000,'DATA INPUT'!$B$3:$B$3000,'Report Tables'!AO$1,'DATA INPUT'!$A$3:$A$3000,"&gt;="&amp;DATE(2018,5,1),'DATA INPUT'!$A$3:$A$3000,"&lt;"&amp;DATE(2018,5,31)))/COUNTIFS('DATA INPUT'!$B$3:$B$3000,'Report Tables'!AO$1,'DATA INPUT'!$A$3:$A$3000,"&gt;="&amp;DATE(2018,5,1),'DATA INPUT'!$A$3:$A$3000,"&lt;"&amp;DATE(2018,5,31)),#N/A),IFERROR((SUMIFS('DATA INPUT'!$E$3:$E$3000,'DATA INPUT'!$B$3:$B$3000,'Report Tables'!AO$1,'DATA INPUT'!$A$3:$A$3000,"&gt;="&amp;DATE(2018,5,1),'DATA INPUT'!$A$3:$A$3000,"&lt;"&amp;DATE(2018,5,31),'DATA INPUT'!$F$3:$F$3000,"&lt;&gt;*Exclude*"))/(COUNTIFS('DATA INPUT'!$B$3:$B$3000,'Report Tables'!AO$1,'DATA INPUT'!$A$3:$A$3000,"&gt;="&amp;DATE(2018,5,1),'DATA INPUT'!$A$3:$A$3000,"&lt;"&amp;DATE(2018,5,31),'DATA INPUT'!$F$3:$F$3000,"&lt;&gt;*Exclude*")),#N/A))</f>
        <v>#N/A</v>
      </c>
      <c r="AP19" s="117" t="e">
        <f>IF($L$2="Yes",IFERROR((SUMIFS('DATA INPUT'!$E$3:$E$3000,'DATA INPUT'!$B$3:$B$3000,'Report Tables'!AP$1,'DATA INPUT'!$A$3:$A$3000,"&gt;="&amp;DATE(2018,5,1),'DATA INPUT'!$A$3:$A$3000,"&lt;"&amp;DATE(2018,5,31)))/COUNTIFS('DATA INPUT'!$B$3:$B$3000,'Report Tables'!AP$1,'DATA INPUT'!$A$3:$A$3000,"&gt;="&amp;DATE(2018,5,1),'DATA INPUT'!$A$3:$A$3000,"&lt;"&amp;DATE(2018,5,31)),#N/A),IFERROR((SUMIFS('DATA INPUT'!$E$3:$E$3000,'DATA INPUT'!$B$3:$B$3000,'Report Tables'!AP$1,'DATA INPUT'!$A$3:$A$3000,"&gt;="&amp;DATE(2018,5,1),'DATA INPUT'!$A$3:$A$3000,"&lt;"&amp;DATE(2018,5,31),'DATA INPUT'!$F$3:$F$3000,"&lt;&gt;*Exclude*"))/(COUNTIFS('DATA INPUT'!$B$3:$B$3000,'Report Tables'!AP$1,'DATA INPUT'!$A$3:$A$3000,"&gt;="&amp;DATE(2018,5,1),'DATA INPUT'!$A$3:$A$3000,"&lt;"&amp;DATE(2018,5,31),'DATA INPUT'!$F$3:$F$3000,"&lt;&gt;*Exclude*")),#N/A))</f>
        <v>#N/A</v>
      </c>
      <c r="AQ19" s="117" t="e">
        <f>IF($L$2="Yes",IFERROR((SUMIFS('DATA INPUT'!$E$3:$E$3000,'DATA INPUT'!$B$3:$B$3000,'Report Tables'!AQ$1,'DATA INPUT'!$A$3:$A$3000,"&gt;="&amp;DATE(2018,5,1),'DATA INPUT'!$A$3:$A$3000,"&lt;"&amp;DATE(2018,5,31)))/COUNTIFS('DATA INPUT'!$B$3:$B$3000,'Report Tables'!AQ$1,'DATA INPUT'!$A$3:$A$3000,"&gt;="&amp;DATE(2018,5,1),'DATA INPUT'!$A$3:$A$3000,"&lt;"&amp;DATE(2018,5,31)),#N/A),IFERROR((SUMIFS('DATA INPUT'!$E$3:$E$3000,'DATA INPUT'!$B$3:$B$3000,'Report Tables'!AQ$1,'DATA INPUT'!$A$3:$A$3000,"&gt;="&amp;DATE(2018,5,1),'DATA INPUT'!$A$3:$A$3000,"&lt;"&amp;DATE(2018,5,31),'DATA INPUT'!$F$3:$F$3000,"&lt;&gt;*Exclude*"))/(COUNTIFS('DATA INPUT'!$B$3:$B$3000,'Report Tables'!AQ$1,'DATA INPUT'!$A$3:$A$3000,"&gt;="&amp;DATE(2018,5,1),'DATA INPUT'!$A$3:$A$3000,"&lt;"&amp;DATE(2018,5,31),'DATA INPUT'!$F$3:$F$3000,"&lt;&gt;*Exclude*")),#N/A))</f>
        <v>#N/A</v>
      </c>
      <c r="AR19" s="117" t="e">
        <f>IF($L$2="Yes",IFERROR((SUMIFS('DATA INPUT'!$E$3:$E$3000,'DATA INPUT'!$B$3:$B$3000,'Report Tables'!AR$1,'DATA INPUT'!$A$3:$A$3000,"&gt;="&amp;DATE(2018,5,1),'DATA INPUT'!$A$3:$A$3000,"&lt;"&amp;DATE(2018,5,31)))/COUNTIFS('DATA INPUT'!$B$3:$B$3000,'Report Tables'!AR$1,'DATA INPUT'!$A$3:$A$3000,"&gt;="&amp;DATE(2018,5,1),'DATA INPUT'!$A$3:$A$3000,"&lt;"&amp;DATE(2018,5,31)),#N/A),IFERROR((SUMIFS('DATA INPUT'!$E$3:$E$3000,'DATA INPUT'!$B$3:$B$3000,'Report Tables'!AR$1,'DATA INPUT'!$A$3:$A$3000,"&gt;="&amp;DATE(2018,5,1),'DATA INPUT'!$A$3:$A$3000,"&lt;"&amp;DATE(2018,5,31),'DATA INPUT'!$F$3:$F$3000,"&lt;&gt;*Exclude*"))/(COUNTIFS('DATA INPUT'!$B$3:$B$3000,'Report Tables'!AR$1,'DATA INPUT'!$A$3:$A$3000,"&gt;="&amp;DATE(2018,5,1),'DATA INPUT'!$A$3:$A$3000,"&lt;"&amp;DATE(2018,5,31),'DATA INPUT'!$F$3:$F$3000,"&lt;&gt;*Exclude*")),#N/A))</f>
        <v>#N/A</v>
      </c>
      <c r="AS19" s="117" t="e">
        <f>IF($L$2="Yes",IFERROR((SUMIFS('DATA INPUT'!$E$3:$E$3000,'DATA INPUT'!$B$3:$B$3000,'Report Tables'!AS$1,'DATA INPUT'!$A$3:$A$3000,"&gt;="&amp;DATE(2018,5,1),'DATA INPUT'!$A$3:$A$3000,"&lt;"&amp;DATE(2018,5,31)))/COUNTIFS('DATA INPUT'!$B$3:$B$3000,'Report Tables'!AS$1,'DATA INPUT'!$A$3:$A$3000,"&gt;="&amp;DATE(2018,5,1),'DATA INPUT'!$A$3:$A$3000,"&lt;"&amp;DATE(2018,5,31)),#N/A),IFERROR((SUMIFS('DATA INPUT'!$E$3:$E$3000,'DATA INPUT'!$B$3:$B$3000,'Report Tables'!AS$1,'DATA INPUT'!$A$3:$A$3000,"&gt;="&amp;DATE(2018,5,1),'DATA INPUT'!$A$3:$A$3000,"&lt;"&amp;DATE(2018,5,31),'DATA INPUT'!$F$3:$F$3000,"&lt;&gt;*Exclude*"))/(COUNTIFS('DATA INPUT'!$B$3:$B$3000,'Report Tables'!AS$1,'DATA INPUT'!$A$3:$A$3000,"&gt;="&amp;DATE(2018,5,1),'DATA INPUT'!$A$3:$A$3000,"&lt;"&amp;DATE(2018,5,31),'DATA INPUT'!$F$3:$F$3000,"&lt;&gt;*Exclude*")),#N/A))</f>
        <v>#N/A</v>
      </c>
      <c r="AT19" s="117" t="e">
        <f>IF($L$2="Yes",IFERROR((SUMIFS('DATA INPUT'!$E$3:$E$3000,'DATA INPUT'!$B$3:$B$3000,'Report Tables'!AT$1,'DATA INPUT'!$A$3:$A$3000,"&gt;="&amp;DATE(2018,5,1),'DATA INPUT'!$A$3:$A$3000,"&lt;"&amp;DATE(2018,5,31)))/COUNTIFS('DATA INPUT'!$B$3:$B$3000,'Report Tables'!AT$1,'DATA INPUT'!$A$3:$A$3000,"&gt;="&amp;DATE(2018,5,1),'DATA INPUT'!$A$3:$A$3000,"&lt;"&amp;DATE(2018,5,31)),#N/A),IFERROR((SUMIFS('DATA INPUT'!$E$3:$E$3000,'DATA INPUT'!$B$3:$B$3000,'Report Tables'!AT$1,'DATA INPUT'!$A$3:$A$3000,"&gt;="&amp;DATE(2018,5,1),'DATA INPUT'!$A$3:$A$3000,"&lt;"&amp;DATE(2018,5,31),'DATA INPUT'!$F$3:$F$3000,"&lt;&gt;*Exclude*"))/(COUNTIFS('DATA INPUT'!$B$3:$B$3000,'Report Tables'!AT$1,'DATA INPUT'!$A$3:$A$3000,"&gt;="&amp;DATE(2018,5,1),'DATA INPUT'!$A$3:$A$3000,"&lt;"&amp;DATE(2018,5,31),'DATA INPUT'!$F$3:$F$3000,"&lt;&gt;*Exclude*")),#N/A))</f>
        <v>#N/A</v>
      </c>
      <c r="AU19" s="117" t="e">
        <f t="shared" si="1"/>
        <v>#N/A</v>
      </c>
      <c r="AV19" s="117" t="e">
        <f>IF($L$2="Yes",IFERROR((SUMIFS('DATA INPUT'!$D$3:$D$3000,'DATA INPUT'!$A$3:$A$3000,"&gt;="&amp;DATE(2018,5,1),'DATA INPUT'!$A$3:$A$3000,"&lt;"&amp;DATE(2018,5,31),'DATA INPUT'!$G$3:$G$3000,"&lt;&gt;*School service*"))/COUNTIFS('DATA INPUT'!$A$3:$A$3000,"&gt;="&amp;DATE(2018,5,1),'DATA INPUT'!$A$3:$A$3000,"&lt;"&amp;DATE(2018,5,31),'DATA INPUT'!$G$3:$G$3000,"&lt;&gt;*School service*",'DATA INPUT'!$D$3:$D$3000,"&lt;&gt;"&amp;""),#N/A),IFERROR((SUMIFS('DATA INPUT'!$D$3:$D$3000,'DATA INPUT'!$A$3:$A$3000,"&gt;="&amp;DATE(2018,5,1),'DATA INPUT'!$A$3:$A$3000,"&lt;"&amp;DATE(2018,5,31),'DATA INPUT'!$F$3:$F$3000,"&lt;&gt;*Exclude*",'DATA INPUT'!$G$3:$G$3000,"&lt;&gt;*School service*"))/(COUNTIFS('DATA INPUT'!$A$3:$A$3000,"&gt;="&amp;DATE(2018,5,1),'DATA INPUT'!$A$3:$A$3000,"&lt;"&amp;DATE(2018,5,31),'DATA INPUT'!$F$3:$F$3000,"&lt;&gt;*Exclude*",'DATA INPUT'!$G$3:$G$3000,"&lt;&gt;*School service*",'DATA INPUT'!$D$3:$D$3000,"&lt;&gt;"&amp;"")),#N/A))</f>
        <v>#N/A</v>
      </c>
      <c r="AW19" s="117" t="e">
        <f t="shared" si="2"/>
        <v>#N/A</v>
      </c>
      <c r="AX19" s="117" t="e">
        <f>IF($L$2="Yes",IFERROR((SUMIFS('DATA INPUT'!$E$3:$E$3000,'DATA INPUT'!$B$3:$B$3000,'Report Tables'!AX$1,'DATA INPUT'!$A$3:$A$3000,"&gt;="&amp;DATE(2018,5,1),'DATA INPUT'!$A$3:$A$3000,"&lt;"&amp;DATE(2018,5,31)))/COUNTIFS('DATA INPUT'!$B$3:$B$3000,'Report Tables'!AX$1,'DATA INPUT'!$A$3:$A$3000,"&gt;="&amp;DATE(2018,5,1),'DATA INPUT'!$A$3:$A$3000,"&lt;"&amp;DATE(2018,5,31)),#N/A),IFERROR((SUMIFS('DATA INPUT'!$E$3:$E$3000,'DATA INPUT'!$B$3:$B$3000,'Report Tables'!AX$1,'DATA INPUT'!$A$3:$A$3000,"&gt;="&amp;DATE(2018,5,1),'DATA INPUT'!$A$3:$A$3000,"&lt;"&amp;DATE(2018,5,31),'DATA INPUT'!$F$3:$F$3000,"&lt;&gt;*Exclude*"))/(COUNTIFS('DATA INPUT'!$B$3:$B$3000,'Report Tables'!AX$1,'DATA INPUT'!$A$3:$A$3000,"&gt;="&amp;DATE(2018,5,1),'DATA INPUT'!$A$3:$A$3000,"&lt;"&amp;DATE(2018,5,31),'DATA INPUT'!$F$3:$F$3000,"&lt;&gt;*Exclude*")),#N/A))</f>
        <v>#N/A</v>
      </c>
      <c r="AY19" s="117" t="e">
        <f>IF($L$2="Yes",IFERROR((SUMIFS('DATA INPUT'!$D$3:$D$3000,'DATA INPUT'!$B$3:$B$3000,'Report Tables'!AX$1,'DATA INPUT'!$A$3:$A$3000,"&gt;="&amp;DATE(2018,5,1),'DATA INPUT'!$A$3:$A$3000,"&lt;"&amp;DATE(2018,5,31)))/COUNTIFS('DATA INPUT'!$B$3:$B$3000,'Report Tables'!AX$1,'DATA INPUT'!$A$3:$A$3000,"&gt;="&amp;DATE(2018,5,1),'DATA INPUT'!$A$3:$A$3000,"&lt;"&amp;DATE(2018,5,31)),#N/A),IFERROR((SUMIFS('DATA INPUT'!$D$3:$D$3000,'DATA INPUT'!$B$3:$B$3000,'Report Tables'!AX$1,'DATA INPUT'!$A$3:$A$3000,"&gt;="&amp;DATE(2018,5,1),'DATA INPUT'!$A$3:$A$3000,"&lt;"&amp;DATE(2018,5,31),'DATA INPUT'!$F$3:$F$3000,"&lt;&gt;*Exclude*"))/(COUNTIFS('DATA INPUT'!$B$3:$B$3000,'Report Tables'!AX$1,'DATA INPUT'!$A$3:$A$3000,"&gt;="&amp;DATE(2018,5,1),'DATA INPUT'!$A$3:$A$3000,"&lt;"&amp;DATE(2018,5,31),'DATA INPUT'!$F$3:$F$3000,"&lt;&gt;*Exclude*")),#N/A))</f>
        <v>#N/A</v>
      </c>
      <c r="AZ19" s="117" t="e">
        <f>IF($L$2="Yes",IFERROR((SUMIFS('DATA INPUT'!$C$3:$C$3000,'DATA INPUT'!$B$3:$B$3000,'Report Tables'!AX$1,'DATA INPUT'!$A$3:$A$3000,"&gt;="&amp;DATE(2018,5,1),'DATA INPUT'!$A$3:$A$3000,"&lt;"&amp;DATE(2018,5,31)))/COUNTIFS('DATA INPUT'!$B$3:$B$3000,'Report Tables'!AX$1,'DATA INPUT'!$A$3:$A$3000,"&gt;="&amp;DATE(2018,5,1),'DATA INPUT'!$A$3:$A$3000,"&lt;"&amp;DATE(2018,5,31)),#N/A),IFERROR((SUMIFS('DATA INPUT'!$C$3:$C$3000,'DATA INPUT'!$B$3:$B$3000,'Report Tables'!AX$1,'DATA INPUT'!$A$3:$A$3000,"&gt;="&amp;DATE(2018,5,1),'DATA INPUT'!$A$3:$A$3000,"&lt;"&amp;DATE(2018,5,31),'DATA INPUT'!$F$3:$F$3000,"&lt;&gt;*Exclude*"))/(COUNTIFS('DATA INPUT'!$B$3:$B$3000,'Report Tables'!AX$1,'DATA INPUT'!$A$3:$A$3000,"&gt;="&amp;DATE(2018,5,1),'DATA INPUT'!$A$3:$A$3000,"&lt;"&amp;DATE(2018,5,31),'DATA INPUT'!$F$3:$F$3000,"&lt;&gt;*Exclude*")),#N/A))</f>
        <v>#N/A</v>
      </c>
    </row>
    <row r="20" spans="1:52" x14ac:dyDescent="0.3">
      <c r="A20" s="95" t="e">
        <f>VLOOKUP(B20,Information!$C$8:$F$15,4,FALSE)</f>
        <v>#N/A</v>
      </c>
      <c r="B20" s="52">
        <f>$B$8</f>
        <v>0</v>
      </c>
      <c r="C20" s="59">
        <f>IF($L$2="Yes",IFERROR((SUMIFS('DATA INPUT'!$E$3:$E$3000,'DATA INPUT'!$A$3:$A$3000,"&gt;="&amp;DATE(2017,1,1),'DATA INPUT'!$A$3:$A$3000,"&lt;="&amp;DATE(2017,12,31),'DATA INPUT'!$B$3:$B$3000,$B20)),#N/A),IFERROR((SUMIFS('DATA INPUT'!$E$3:$E$3000,'DATA INPUT'!$A$3:$A$3000,"&gt;="&amp;DATE(2017,1,1),'DATA INPUT'!$A$3:$A$3000,"&lt;="&amp;DATE(2017,12,31),'DATA INPUT'!$B$3:$B$3000,$B20,'DATA INPUT'!$F$3:$F$3000,"&lt;&gt;*Exclude*")),#N/A))</f>
        <v>0</v>
      </c>
      <c r="D20" s="59">
        <f>IF($L$2="Yes",IFERROR((SUMIFS('DATA INPUT'!$E$3:$E$3000,'DATA INPUT'!$A$3:$A$3000,"&gt;="&amp;DATE(2018,1,1),'DATA INPUT'!$A$3:$A$3000,"&lt;="&amp;DATE(2018,12,31),'DATA INPUT'!$B$3:$B$3000,$B20)),#N/A),IFERROR((SUMIFS('DATA INPUT'!$E$3:$E$3000,'DATA INPUT'!$A$3:$A$3000,"&gt;="&amp;DATE(2018,1,1),'DATA INPUT'!$A$3:$A$3000,"&lt;="&amp;DATE(2018,12,31),'DATA INPUT'!$B$3:$B$3000,$B20,'DATA INPUT'!$F$3:$F$3000,"&lt;&gt;*Exclude*")),#N/A))</f>
        <v>0</v>
      </c>
      <c r="E20" s="59">
        <f>IF($L$2="Yes",IFERROR((SUMIFS('DATA INPUT'!$E$3:$E$3000,'DATA INPUT'!$A$3:$A$3000,"&gt;="&amp;DATE(2019,1,1),'DATA INPUT'!$A$3:$A$3000,"&lt;="&amp;DATE(2019,12,31),'DATA INPUT'!$B$3:$B$3000,$B20)),#N/A),IFERROR((SUMIFS('DATA INPUT'!$E$3:$E$3000,'DATA INPUT'!$A$3:$A$3000,"&gt;="&amp;DATE(2019,1,1),'DATA INPUT'!$A$3:$A$3000,"&lt;="&amp;DATE(2019,12,31),'DATA INPUT'!$B$3:$B$3000,$B20,'DATA INPUT'!$F$3:$F$3000,"&lt;&gt;*Exclude*")),#N/A))</f>
        <v>0</v>
      </c>
      <c r="F20" s="59">
        <f>IF($L$2="Yes",IFERROR((SUMIFS('DATA INPUT'!$E$3:$E$3000,'DATA INPUT'!$A$3:$A$3000,"&gt;="&amp;DATE(2020,1,1),'DATA INPUT'!$A$3:$A$3000,"&lt;="&amp;DATE(2020,12,31),'DATA INPUT'!$B$3:$B$3000,$B20)),#N/A),IFERROR((SUMIFS('DATA INPUT'!$E$3:$E$3000,'DATA INPUT'!$A$3:$A$3000,"&gt;="&amp;DATE(2020,1,1),'DATA INPUT'!$A$3:$A$3000,"&lt;="&amp;DATE(2020,12,31),'DATA INPUT'!$B$3:$B$3000,$B20,'DATA INPUT'!$F$3:$F$3000,"&lt;&gt;*Exclude*")),#N/A))</f>
        <v>0</v>
      </c>
      <c r="G20" s="59">
        <f>IF($L$2="Yes",IFERROR((SUMIFS('DATA INPUT'!$E$3:$E$3000,'DATA INPUT'!$A$3:$A$3000,"&gt;="&amp;DATE(2021,1,1),'DATA INPUT'!$A$3:$A$3000,"&lt;="&amp;DATE(2021,12,31),'DATA INPUT'!$B$3:$B$3000,$B20)),#N/A),IFERROR((SUMIFS('DATA INPUT'!$E$3:$E$3000,'DATA INPUT'!$A$3:$A$3000,"&gt;="&amp;DATE(2021,1,1),'DATA INPUT'!$A$3:$A$3000,"&lt;="&amp;DATE(2021,12,31),'DATA INPUT'!$B$3:$B$3000,$B20,'DATA INPUT'!$F$3:$F$3000,"&lt;&gt;*Exclude*")),#N/A))</f>
        <v>0</v>
      </c>
      <c r="H20" s="59">
        <f>IF($L$2="Yes",IFERROR((SUMIFS('DATA INPUT'!$E$3:$E$3000,'DATA INPUT'!$A$3:$A$3000,"&gt;="&amp;DATE(2022,1,1),'DATA INPUT'!$A$3:$A$3000,"&lt;="&amp;DATE(2022,12,31),'DATA INPUT'!$B$3:$B$3000,$B20)),#N/A),IFERROR((SUMIFS('DATA INPUT'!$E$3:$E$3000,'DATA INPUT'!$A$3:$A$3000,"&gt;="&amp;DATE(2022,1,1),'DATA INPUT'!$A$3:$A$3000,"&lt;="&amp;DATE(2022,12,31),'DATA INPUT'!$B$3:$B$3000,$B20,'DATA INPUT'!$F$3:$F$3000,"&lt;&gt;*Exclude*")),#N/A))</f>
        <v>0</v>
      </c>
      <c r="I20" s="59">
        <f>IF($L$2="Yes",IFERROR((SUMIFS('DATA INPUT'!$E$3:$E$3000,'DATA INPUT'!$A$3:$A$3000,"&gt;="&amp;DATE(2023,1,1),'DATA INPUT'!$A$3:$A$3000,"&lt;="&amp;DATE(2023,12,31),'DATA INPUT'!$B$3:$B$3000,$B20)),#N/A),IFERROR((SUMIFS('DATA INPUT'!$E$3:$E$3000,'DATA INPUT'!$A$3:$A$3000,"&gt;="&amp;DATE(2023,1,1),'DATA INPUT'!$A$3:$A$3000,"&lt;="&amp;DATE(2023,12,31),'DATA INPUT'!$B$3:$B$3000,$B20,'DATA INPUT'!$F$3:$F$3000,"&lt;&gt;*Exclude*")),#N/A))</f>
        <v>0</v>
      </c>
      <c r="J20" s="59">
        <f>IF($L$2="Yes",IFERROR((SUMIFS('DATA INPUT'!$E$3:$E$3000,'DATA INPUT'!$A$3:$A$3000,"&gt;="&amp;DATE(2024,1,1),'DATA INPUT'!$A$3:$A$3000,"&lt;="&amp;DATE(2024,12,31),'DATA INPUT'!$B$3:$B$3000,$B20)),#N/A),IFERROR((SUMIFS('DATA INPUT'!$E$3:$E$3000,'DATA INPUT'!$A$3:$A$3000,"&gt;="&amp;DATE(2024,1,1),'DATA INPUT'!$A$3:$A$3000,"&lt;="&amp;DATE(2024,12,31),'DATA INPUT'!$B$3:$B$3000,$B20,'DATA INPUT'!$F$3:$F$3000,"&lt;&gt;*Exclude*")),#N/A))</f>
        <v>0</v>
      </c>
      <c r="K20" s="59">
        <f>IF($L$2="Yes",IFERROR((SUMIFS('DATA INPUT'!$E$3:$E$3000,'DATA INPUT'!$A$3:$A$3000,"&gt;="&amp;DATE(2025,1,1),'DATA INPUT'!$A$3:$A$3000,"&lt;="&amp;DATE(2025,12,31),'DATA INPUT'!$B$3:$B$3000,$B20)),#N/A),IFERROR((SUMIFS('DATA INPUT'!$E$3:$E$3000,'DATA INPUT'!$A$3:$A$3000,"&gt;="&amp;DATE(2025,1,1),'DATA INPUT'!$A$3:$A$3000,"&lt;="&amp;DATE(2025,12,31),'DATA INPUT'!$B$3:$B$3000,$B20,'DATA INPUT'!$F$3:$F$3000,"&lt;&gt;*Exclude*")),#N/A))</f>
        <v>0</v>
      </c>
      <c r="L20" s="103">
        <f t="shared" si="8"/>
        <v>0</v>
      </c>
      <c r="M20" s="105" t="str">
        <f t="shared" si="9"/>
        <v/>
      </c>
      <c r="Y20" s="149"/>
      <c r="Z20" s="149" t="s">
        <v>17</v>
      </c>
      <c r="AA20" s="136" t="e">
        <f>IF($L$2="Yes",IF(SUMIFS('DATA INPUT'!$E$3:$E$3000,'DATA INPUT'!$B$3:$B$3000,'Report Tables'!AA$1,'DATA INPUT'!$A$3:$A$3000,"&gt;="&amp;DATE(2018,6,1),'DATA INPUT'!$A$3:$A$3000,"&lt;"&amp;DATE(2018,6,31))=0,#N/A,(SUMIFS('DATA INPUT'!$E$3:$E$3000,'DATA INPUT'!$B$3:$B$3000,'Report Tables'!AA$1,'DATA INPUT'!$A$3:$A$3000,"&gt;="&amp;DATE(2018,6,1),'DATA INPUT'!$A$3:$A$3000,"&lt;"&amp;DATE(2018,6,31)))),IF(SUMIFS('DATA INPUT'!$E$3:$E$3000,'DATA INPUT'!$B$3:$B$3000,'Report Tables'!AA$1,'DATA INPUT'!$A$3:$A$3000,"&gt;="&amp;DATE(2018,6,1),'DATA INPUT'!$A$3:$A$3000,"&lt;"&amp;DATE(2018,6,31),'DATA INPUT'!$F$3:$F$3000,"&lt;&gt;*Exclude*")=0,#N/A,(SUMIFS('DATA INPUT'!$E$3:$E$3000,'DATA INPUT'!$B$3:$B$3000,'Report Tables'!AA$1,'DATA INPUT'!$A$3:$A$3000,"&gt;="&amp;DATE(2018,6,1),'DATA INPUT'!$A$3:$A$3000,"&lt;"&amp;DATE(2018,6,31),'DATA INPUT'!$F$3:$F$3000,"&lt;&gt;*Exclude*"))))</f>
        <v>#N/A</v>
      </c>
      <c r="AB20" s="136" t="e">
        <f>IF($L$2="Yes",IF(SUMIFS('DATA INPUT'!$E$3:$E$3000,'DATA INPUT'!$B$3:$B$3000,'Report Tables'!AB$1,'DATA INPUT'!$A$3:$A$3000,"&gt;="&amp;DATE(2018,6,1),'DATA INPUT'!$A$3:$A$3000,"&lt;"&amp;DATE(2018,6,31))=0,#N/A,(SUMIFS('DATA INPUT'!$E$3:$E$3000,'DATA INPUT'!$B$3:$B$3000,'Report Tables'!AB$1,'DATA INPUT'!$A$3:$A$3000,"&gt;="&amp;DATE(2018,6,1),'DATA INPUT'!$A$3:$A$3000,"&lt;"&amp;DATE(2018,6,31)))),IF(SUMIFS('DATA INPUT'!$E$3:$E$3000,'DATA INPUT'!$B$3:$B$3000,'Report Tables'!AB$1,'DATA INPUT'!$A$3:$A$3000,"&gt;="&amp;DATE(2018,6,1),'DATA INPUT'!$A$3:$A$3000,"&lt;"&amp;DATE(2018,6,31),'DATA INPUT'!$F$3:$F$3000,"&lt;&gt;*Exclude*")=0,#N/A,(SUMIFS('DATA INPUT'!$E$3:$E$3000,'DATA INPUT'!$B$3:$B$3000,'Report Tables'!AB$1,'DATA INPUT'!$A$3:$A$3000,"&gt;="&amp;DATE(2018,6,1),'DATA INPUT'!$A$3:$A$3000,"&lt;"&amp;DATE(2018,6,31),'DATA INPUT'!$F$3:$F$3000,"&lt;&gt;*Exclude*"))))</f>
        <v>#N/A</v>
      </c>
      <c r="AC20" s="136" t="e">
        <f>IF($L$2="Yes",IF(SUMIFS('DATA INPUT'!$E$3:$E$3000,'DATA INPUT'!$B$3:$B$3000,'Report Tables'!AC$1,'DATA INPUT'!$A$3:$A$3000,"&gt;="&amp;DATE(2018,6,1),'DATA INPUT'!$A$3:$A$3000,"&lt;"&amp;DATE(2018,6,31))=0,#N/A,(SUMIFS('DATA INPUT'!$E$3:$E$3000,'DATA INPUT'!$B$3:$B$3000,'Report Tables'!AC$1,'DATA INPUT'!$A$3:$A$3000,"&gt;="&amp;DATE(2018,6,1),'DATA INPUT'!$A$3:$A$3000,"&lt;"&amp;DATE(2018,6,31)))),IF(SUMIFS('DATA INPUT'!$E$3:$E$3000,'DATA INPUT'!$B$3:$B$3000,'Report Tables'!AC$1,'DATA INPUT'!$A$3:$A$3000,"&gt;="&amp;DATE(2018,6,1),'DATA INPUT'!$A$3:$A$3000,"&lt;"&amp;DATE(2018,6,31),'DATA INPUT'!$F$3:$F$3000,"&lt;&gt;*Exclude*")=0,#N/A,(SUMIFS('DATA INPUT'!$E$3:$E$3000,'DATA INPUT'!$B$3:$B$3000,'Report Tables'!AC$1,'DATA INPUT'!$A$3:$A$3000,"&gt;="&amp;DATE(2018,6,1),'DATA INPUT'!$A$3:$A$3000,"&lt;"&amp;DATE(2018,6,31),'DATA INPUT'!$F$3:$F$3000,"&lt;&gt;*Exclude*"))))</f>
        <v>#N/A</v>
      </c>
      <c r="AD20" s="136" t="e">
        <f>IF($L$2="Yes",IF(SUMIFS('DATA INPUT'!$E$3:$E$3000,'DATA INPUT'!$B$3:$B$3000,'Report Tables'!AD$1,'DATA INPUT'!$A$3:$A$3000,"&gt;="&amp;DATE(2018,6,1),'DATA INPUT'!$A$3:$A$3000,"&lt;"&amp;DATE(2018,6,31))=0,#N/A,(SUMIFS('DATA INPUT'!$E$3:$E$3000,'DATA INPUT'!$B$3:$B$3000,'Report Tables'!AD$1,'DATA INPUT'!$A$3:$A$3000,"&gt;="&amp;DATE(2018,6,1),'DATA INPUT'!$A$3:$A$3000,"&lt;"&amp;DATE(2018,6,31)))),IF(SUMIFS('DATA INPUT'!$E$3:$E$3000,'DATA INPUT'!$B$3:$B$3000,'Report Tables'!AD$1,'DATA INPUT'!$A$3:$A$3000,"&gt;="&amp;DATE(2018,6,1),'DATA INPUT'!$A$3:$A$3000,"&lt;"&amp;DATE(2018,6,31),'DATA INPUT'!$F$3:$F$3000,"&lt;&gt;*Exclude*")=0,#N/A,(SUMIFS('DATA INPUT'!$E$3:$E$3000,'DATA INPUT'!$B$3:$B$3000,'Report Tables'!AD$1,'DATA INPUT'!$A$3:$A$3000,"&gt;="&amp;DATE(2018,6,1),'DATA INPUT'!$A$3:$A$3000,"&lt;"&amp;DATE(2018,6,31),'DATA INPUT'!$F$3:$F$3000,"&lt;&gt;*Exclude*"))))</f>
        <v>#N/A</v>
      </c>
      <c r="AE20" s="136" t="e">
        <f>IF($L$2="Yes",IF(SUMIFS('DATA INPUT'!$E$3:$E$3000,'DATA INPUT'!$B$3:$B$3000,'Report Tables'!AE$1,'DATA INPUT'!$A$3:$A$3000,"&gt;="&amp;DATE(2018,6,1),'DATA INPUT'!$A$3:$A$3000,"&lt;"&amp;DATE(2018,6,31))=0,#N/A,(SUMIFS('DATA INPUT'!$E$3:$E$3000,'DATA INPUT'!$B$3:$B$3000,'Report Tables'!AE$1,'DATA INPUT'!$A$3:$A$3000,"&gt;="&amp;DATE(2018,6,1),'DATA INPUT'!$A$3:$A$3000,"&lt;"&amp;DATE(2018,6,31)))),IF(SUMIFS('DATA INPUT'!$E$3:$E$3000,'DATA INPUT'!$B$3:$B$3000,'Report Tables'!AE$1,'DATA INPUT'!$A$3:$A$3000,"&gt;="&amp;DATE(2018,6,1),'DATA INPUT'!$A$3:$A$3000,"&lt;"&amp;DATE(2018,6,31),'DATA INPUT'!$F$3:$F$3000,"&lt;&gt;*Exclude*")=0,#N/A,(SUMIFS('DATA INPUT'!$E$3:$E$3000,'DATA INPUT'!$B$3:$B$3000,'Report Tables'!AE$1,'DATA INPUT'!$A$3:$A$3000,"&gt;="&amp;DATE(2018,6,1),'DATA INPUT'!$A$3:$A$3000,"&lt;"&amp;DATE(2018,6,31),'DATA INPUT'!$F$3:$F$3000,"&lt;&gt;*Exclude*"))))</f>
        <v>#N/A</v>
      </c>
      <c r="AF20" s="136" t="e">
        <f>IF($L$2="Yes",IF(SUMIFS('DATA INPUT'!$E$3:$E$3000,'DATA INPUT'!$B$3:$B$3000,'Report Tables'!AF$1,'DATA INPUT'!$A$3:$A$3000,"&gt;="&amp;DATE(2018,6,1),'DATA INPUT'!$A$3:$A$3000,"&lt;"&amp;DATE(2018,6,31))=0,#N/A,(SUMIFS('DATA INPUT'!$E$3:$E$3000,'DATA INPUT'!$B$3:$B$3000,'Report Tables'!AF$1,'DATA INPUT'!$A$3:$A$3000,"&gt;="&amp;DATE(2018,6,1),'DATA INPUT'!$A$3:$A$3000,"&lt;"&amp;DATE(2018,6,31)))),IF(SUMIFS('DATA INPUT'!$E$3:$E$3000,'DATA INPUT'!$B$3:$B$3000,'Report Tables'!AF$1,'DATA INPUT'!$A$3:$A$3000,"&gt;="&amp;DATE(2018,6,1),'DATA INPUT'!$A$3:$A$3000,"&lt;"&amp;DATE(2018,6,31),'DATA INPUT'!$F$3:$F$3000,"&lt;&gt;*Exclude*")=0,#N/A,(SUMIFS('DATA INPUT'!$E$3:$E$3000,'DATA INPUT'!$B$3:$B$3000,'Report Tables'!AF$1,'DATA INPUT'!$A$3:$A$3000,"&gt;="&amp;DATE(2018,6,1),'DATA INPUT'!$A$3:$A$3000,"&lt;"&amp;DATE(2018,6,31),'DATA INPUT'!$F$3:$F$3000,"&lt;&gt;*Exclude*"))))</f>
        <v>#N/A</v>
      </c>
      <c r="AG20" s="136" t="e">
        <f>IF($L$2="Yes",IF(SUMIFS('DATA INPUT'!$E$3:$E$3000,'DATA INPUT'!$B$3:$B$3000,'Report Tables'!AG$1,'DATA INPUT'!$A$3:$A$3000,"&gt;="&amp;DATE(2018,6,1),'DATA INPUT'!$A$3:$A$3000,"&lt;"&amp;DATE(2018,6,31))=0,#N/A,(SUMIFS('DATA INPUT'!$E$3:$E$3000,'DATA INPUT'!$B$3:$B$3000,'Report Tables'!AG$1,'DATA INPUT'!$A$3:$A$3000,"&gt;="&amp;DATE(2018,6,1),'DATA INPUT'!$A$3:$A$3000,"&lt;"&amp;DATE(2018,6,31)))),IF(SUMIFS('DATA INPUT'!$E$3:$E$3000,'DATA INPUT'!$B$3:$B$3000,'Report Tables'!AG$1,'DATA INPUT'!$A$3:$A$3000,"&gt;="&amp;DATE(2018,6,1),'DATA INPUT'!$A$3:$A$3000,"&lt;"&amp;DATE(2018,6,31),'DATA INPUT'!$F$3:$F$3000,"&lt;&gt;*Exclude*")=0,#N/A,(SUMIFS('DATA INPUT'!$E$3:$E$3000,'DATA INPUT'!$B$3:$B$3000,'Report Tables'!AG$1,'DATA INPUT'!$A$3:$A$3000,"&gt;="&amp;DATE(2018,6,1),'DATA INPUT'!$A$3:$A$3000,"&lt;"&amp;DATE(2018,6,31),'DATA INPUT'!$F$3:$F$3000,"&lt;&gt;*Exclude*"))))</f>
        <v>#N/A</v>
      </c>
      <c r="AH20" s="136" t="e">
        <f>IF($L$2="Yes",IF(SUMIFS('DATA INPUT'!$E$3:$E$3000,'DATA INPUT'!$B$3:$B$3000,'Report Tables'!AH$1,'DATA INPUT'!$A$3:$A$3000,"&gt;="&amp;DATE(2018,6,1),'DATA INPUT'!$A$3:$A$3000,"&lt;"&amp;DATE(2018,6,31))=0,#N/A,(SUMIFS('DATA INPUT'!$E$3:$E$3000,'DATA INPUT'!$B$3:$B$3000,'Report Tables'!AH$1,'DATA INPUT'!$A$3:$A$3000,"&gt;="&amp;DATE(2018,6,1),'DATA INPUT'!$A$3:$A$3000,"&lt;"&amp;DATE(2018,6,31)))),IF(SUMIFS('DATA INPUT'!$E$3:$E$3000,'DATA INPUT'!$B$3:$B$3000,'Report Tables'!AH$1,'DATA INPUT'!$A$3:$A$3000,"&gt;="&amp;DATE(2018,6,1),'DATA INPUT'!$A$3:$A$3000,"&lt;"&amp;DATE(2018,6,31),'DATA INPUT'!$F$3:$F$3000,"&lt;&gt;*Exclude*")=0,#N/A,(SUMIFS('DATA INPUT'!$E$3:$E$3000,'DATA INPUT'!$B$3:$B$3000,'Report Tables'!AH$1,'DATA INPUT'!$A$3:$A$3000,"&gt;="&amp;DATE(2018,6,1),'DATA INPUT'!$A$3:$A$3000,"&lt;"&amp;DATE(2018,6,31),'DATA INPUT'!$F$3:$F$3000,"&lt;&gt;*Exclude*"))))</f>
        <v>#N/A</v>
      </c>
      <c r="AI20" s="136" t="e">
        <f t="shared" si="0"/>
        <v>#N/A</v>
      </c>
      <c r="AJ20" s="136" t="e">
        <f>IF($L$2="Yes",IF(SUMIFS('DATA INPUT'!$D$3:$D$3000,'DATA INPUT'!$A$3:$A$3000,"&gt;="&amp;DATE(2018,6,1),'DATA INPUT'!$A$3:$A$3000,"&lt;"&amp;DATE(2018,6,31),'DATA INPUT'!$G$3:$G$3000,"&lt;&gt;*School service*")=0,#N/A,(SUMIFS('DATA INPUT'!$D$3:$D$3000,'DATA INPUT'!$A$3:$A$3000,"&gt;="&amp;DATE(2018,6,1),'DATA INPUT'!$A$3:$A$3000,"&lt;"&amp;DATE(2018,6,31),'DATA INPUT'!$G$3:$G$3000,"&lt;&gt;*School service*"))),IF(SUMIFS('DATA INPUT'!$D$3:$D$3000,'DATA INPUT'!$A$3:$A$3000,"&gt;="&amp;DATE(2018,6,1),'DATA INPUT'!$A$3:$A$3000,"&lt;"&amp;DATE(2018,6,31),'DATA INPUT'!$F$3:$F$3000,"&lt;&gt;*Exclude*",'DATA INPUT'!$G$3:$G$3000,"&lt;&gt;*School service*")=0,#N/A,(SUMIFS('DATA INPUT'!$D$3:$D$3000,'DATA INPUT'!$A$3:$A$3000,"&gt;="&amp;DATE(2018,6,1),'DATA INPUT'!$A$3:$A$3000,"&lt;"&amp;DATE(2018,6,31),'DATA INPUT'!$F$3:$F$3000,"&lt;&gt;*Exclude*",'DATA INPUT'!$G$3:$G$3000,"&lt;&gt;*School service*"))))</f>
        <v>#N/A</v>
      </c>
      <c r="AK20" s="136" t="e">
        <f>AI20-AJ20</f>
        <v>#N/A</v>
      </c>
      <c r="AM20" s="117" t="e">
        <f>IF($L$2="Yes",IFERROR((SUMIFS('DATA INPUT'!$E$3:$E$3000,'DATA INPUT'!$B$3:$B$3000,'Report Tables'!AM$1,'DATA INPUT'!$A$3:$A$3000,"&gt;="&amp;DATE(2018,6,1),'DATA INPUT'!$A$3:$A$3000,"&lt;"&amp;DATE(2018,6,31)))/COUNTIFS('DATA INPUT'!$B$3:$B$3000,'Report Tables'!AM$1,'DATA INPUT'!$A$3:$A$3000,"&gt;="&amp;DATE(2018,6,1),'DATA INPUT'!$A$3:$A$3000,"&lt;"&amp;DATE(2018,6,31)),#N/A),IFERROR((SUMIFS('DATA INPUT'!$E$3:$E$3000,'DATA INPUT'!$B$3:$B$3000,'Report Tables'!AM$1,'DATA INPUT'!$A$3:$A$3000,"&gt;="&amp;DATE(2018,6,1),'DATA INPUT'!$A$3:$A$3000,"&lt;"&amp;DATE(2018,6,31),'DATA INPUT'!$F$3:$F$3000,"&lt;&gt;*Exclude*"))/(COUNTIFS('DATA INPUT'!$B$3:$B$3000,'Report Tables'!AM$1,'DATA INPUT'!$A$3:$A$3000,"&gt;="&amp;DATE(2018,6,1),'DATA INPUT'!$A$3:$A$3000,"&lt;"&amp;DATE(2018,6,31),'DATA INPUT'!$F$3:$F$3000,"&lt;&gt;*Exclude*")),#N/A))</f>
        <v>#N/A</v>
      </c>
      <c r="AN20" s="117" t="e">
        <f>IF($L$2="Yes",IFERROR((SUMIFS('DATA INPUT'!$E$3:$E$3000,'DATA INPUT'!$B$3:$B$3000,'Report Tables'!AN$1,'DATA INPUT'!$A$3:$A$3000,"&gt;="&amp;DATE(2018,6,1),'DATA INPUT'!$A$3:$A$3000,"&lt;"&amp;DATE(2018,6,31)))/COUNTIFS('DATA INPUT'!$B$3:$B$3000,'Report Tables'!AN$1,'DATA INPUT'!$A$3:$A$3000,"&gt;="&amp;DATE(2018,6,1),'DATA INPUT'!$A$3:$A$3000,"&lt;"&amp;DATE(2018,6,31)),#N/A),IFERROR((SUMIFS('DATA INPUT'!$E$3:$E$3000,'DATA INPUT'!$B$3:$B$3000,'Report Tables'!AN$1,'DATA INPUT'!$A$3:$A$3000,"&gt;="&amp;DATE(2018,6,1),'DATA INPUT'!$A$3:$A$3000,"&lt;"&amp;DATE(2018,6,31),'DATA INPUT'!$F$3:$F$3000,"&lt;&gt;*Exclude*"))/(COUNTIFS('DATA INPUT'!$B$3:$B$3000,'Report Tables'!AN$1,'DATA INPUT'!$A$3:$A$3000,"&gt;="&amp;DATE(2018,6,1),'DATA INPUT'!$A$3:$A$3000,"&lt;"&amp;DATE(2018,6,31),'DATA INPUT'!$F$3:$F$3000,"&lt;&gt;*Exclude*")),#N/A))</f>
        <v>#N/A</v>
      </c>
      <c r="AO20" s="117" t="e">
        <f>IF($L$2="Yes",IFERROR((SUMIFS('DATA INPUT'!$E$3:$E$3000,'DATA INPUT'!$B$3:$B$3000,'Report Tables'!AO$1,'DATA INPUT'!$A$3:$A$3000,"&gt;="&amp;DATE(2018,6,1),'DATA INPUT'!$A$3:$A$3000,"&lt;"&amp;DATE(2018,6,31)))/COUNTIFS('DATA INPUT'!$B$3:$B$3000,'Report Tables'!AO$1,'DATA INPUT'!$A$3:$A$3000,"&gt;="&amp;DATE(2018,6,1),'DATA INPUT'!$A$3:$A$3000,"&lt;"&amp;DATE(2018,6,31)),#N/A),IFERROR((SUMIFS('DATA INPUT'!$E$3:$E$3000,'DATA INPUT'!$B$3:$B$3000,'Report Tables'!AO$1,'DATA INPUT'!$A$3:$A$3000,"&gt;="&amp;DATE(2018,6,1),'DATA INPUT'!$A$3:$A$3000,"&lt;"&amp;DATE(2018,6,31),'DATA INPUT'!$F$3:$F$3000,"&lt;&gt;*Exclude*"))/(COUNTIFS('DATA INPUT'!$B$3:$B$3000,'Report Tables'!AO$1,'DATA INPUT'!$A$3:$A$3000,"&gt;="&amp;DATE(2018,6,1),'DATA INPUT'!$A$3:$A$3000,"&lt;"&amp;DATE(2018,6,31),'DATA INPUT'!$F$3:$F$3000,"&lt;&gt;*Exclude*")),#N/A))</f>
        <v>#N/A</v>
      </c>
      <c r="AP20" s="117" t="e">
        <f>IF($L$2="Yes",IFERROR((SUMIFS('DATA INPUT'!$E$3:$E$3000,'DATA INPUT'!$B$3:$B$3000,'Report Tables'!AP$1,'DATA INPUT'!$A$3:$A$3000,"&gt;="&amp;DATE(2018,6,1),'DATA INPUT'!$A$3:$A$3000,"&lt;"&amp;DATE(2018,6,31)))/COUNTIFS('DATA INPUT'!$B$3:$B$3000,'Report Tables'!AP$1,'DATA INPUT'!$A$3:$A$3000,"&gt;="&amp;DATE(2018,6,1),'DATA INPUT'!$A$3:$A$3000,"&lt;"&amp;DATE(2018,6,31)),#N/A),IFERROR((SUMIFS('DATA INPUT'!$E$3:$E$3000,'DATA INPUT'!$B$3:$B$3000,'Report Tables'!AP$1,'DATA INPUT'!$A$3:$A$3000,"&gt;="&amp;DATE(2018,6,1),'DATA INPUT'!$A$3:$A$3000,"&lt;"&amp;DATE(2018,6,31),'DATA INPUT'!$F$3:$F$3000,"&lt;&gt;*Exclude*"))/(COUNTIFS('DATA INPUT'!$B$3:$B$3000,'Report Tables'!AP$1,'DATA INPUT'!$A$3:$A$3000,"&gt;="&amp;DATE(2018,6,1),'DATA INPUT'!$A$3:$A$3000,"&lt;"&amp;DATE(2018,6,31),'DATA INPUT'!$F$3:$F$3000,"&lt;&gt;*Exclude*")),#N/A))</f>
        <v>#N/A</v>
      </c>
      <c r="AQ20" s="117" t="e">
        <f>IF($L$2="Yes",IFERROR((SUMIFS('DATA INPUT'!$E$3:$E$3000,'DATA INPUT'!$B$3:$B$3000,'Report Tables'!AQ$1,'DATA INPUT'!$A$3:$A$3000,"&gt;="&amp;DATE(2018,6,1),'DATA INPUT'!$A$3:$A$3000,"&lt;"&amp;DATE(2018,6,31)))/COUNTIFS('DATA INPUT'!$B$3:$B$3000,'Report Tables'!AQ$1,'DATA INPUT'!$A$3:$A$3000,"&gt;="&amp;DATE(2018,6,1),'DATA INPUT'!$A$3:$A$3000,"&lt;"&amp;DATE(2018,6,31)),#N/A),IFERROR((SUMIFS('DATA INPUT'!$E$3:$E$3000,'DATA INPUT'!$B$3:$B$3000,'Report Tables'!AQ$1,'DATA INPUT'!$A$3:$A$3000,"&gt;="&amp;DATE(2018,6,1),'DATA INPUT'!$A$3:$A$3000,"&lt;"&amp;DATE(2018,6,31),'DATA INPUT'!$F$3:$F$3000,"&lt;&gt;*Exclude*"))/(COUNTIFS('DATA INPUT'!$B$3:$B$3000,'Report Tables'!AQ$1,'DATA INPUT'!$A$3:$A$3000,"&gt;="&amp;DATE(2018,6,1),'DATA INPUT'!$A$3:$A$3000,"&lt;"&amp;DATE(2018,6,31),'DATA INPUT'!$F$3:$F$3000,"&lt;&gt;*Exclude*")),#N/A))</f>
        <v>#N/A</v>
      </c>
      <c r="AR20" s="117" t="e">
        <f>IF($L$2="Yes",IFERROR((SUMIFS('DATA INPUT'!$E$3:$E$3000,'DATA INPUT'!$B$3:$B$3000,'Report Tables'!AR$1,'DATA INPUT'!$A$3:$A$3000,"&gt;="&amp;DATE(2018,6,1),'DATA INPUT'!$A$3:$A$3000,"&lt;"&amp;DATE(2018,6,31)))/COUNTIFS('DATA INPUT'!$B$3:$B$3000,'Report Tables'!AR$1,'DATA INPUT'!$A$3:$A$3000,"&gt;="&amp;DATE(2018,6,1),'DATA INPUT'!$A$3:$A$3000,"&lt;"&amp;DATE(2018,6,31)),#N/A),IFERROR((SUMIFS('DATA INPUT'!$E$3:$E$3000,'DATA INPUT'!$B$3:$B$3000,'Report Tables'!AR$1,'DATA INPUT'!$A$3:$A$3000,"&gt;="&amp;DATE(2018,6,1),'DATA INPUT'!$A$3:$A$3000,"&lt;"&amp;DATE(2018,6,31),'DATA INPUT'!$F$3:$F$3000,"&lt;&gt;*Exclude*"))/(COUNTIFS('DATA INPUT'!$B$3:$B$3000,'Report Tables'!AR$1,'DATA INPUT'!$A$3:$A$3000,"&gt;="&amp;DATE(2018,6,1),'DATA INPUT'!$A$3:$A$3000,"&lt;"&amp;DATE(2018,6,31),'DATA INPUT'!$F$3:$F$3000,"&lt;&gt;*Exclude*")),#N/A))</f>
        <v>#N/A</v>
      </c>
      <c r="AS20" s="117" t="e">
        <f>IF($L$2="Yes",IFERROR((SUMIFS('DATA INPUT'!$E$3:$E$3000,'DATA INPUT'!$B$3:$B$3000,'Report Tables'!AS$1,'DATA INPUT'!$A$3:$A$3000,"&gt;="&amp;DATE(2018,6,1),'DATA INPUT'!$A$3:$A$3000,"&lt;"&amp;DATE(2018,6,31)))/COUNTIFS('DATA INPUT'!$B$3:$B$3000,'Report Tables'!AS$1,'DATA INPUT'!$A$3:$A$3000,"&gt;="&amp;DATE(2018,6,1),'DATA INPUT'!$A$3:$A$3000,"&lt;"&amp;DATE(2018,6,31)),#N/A),IFERROR((SUMIFS('DATA INPUT'!$E$3:$E$3000,'DATA INPUT'!$B$3:$B$3000,'Report Tables'!AS$1,'DATA INPUT'!$A$3:$A$3000,"&gt;="&amp;DATE(2018,6,1),'DATA INPUT'!$A$3:$A$3000,"&lt;"&amp;DATE(2018,6,31),'DATA INPUT'!$F$3:$F$3000,"&lt;&gt;*Exclude*"))/(COUNTIFS('DATA INPUT'!$B$3:$B$3000,'Report Tables'!AS$1,'DATA INPUT'!$A$3:$A$3000,"&gt;="&amp;DATE(2018,6,1),'DATA INPUT'!$A$3:$A$3000,"&lt;"&amp;DATE(2018,6,31),'DATA INPUT'!$F$3:$F$3000,"&lt;&gt;*Exclude*")),#N/A))</f>
        <v>#N/A</v>
      </c>
      <c r="AT20" s="117" t="e">
        <f>IF($L$2="Yes",IFERROR((SUMIFS('DATA INPUT'!$E$3:$E$3000,'DATA INPUT'!$B$3:$B$3000,'Report Tables'!AT$1,'DATA INPUT'!$A$3:$A$3000,"&gt;="&amp;DATE(2018,6,1),'DATA INPUT'!$A$3:$A$3000,"&lt;"&amp;DATE(2018,6,31)))/COUNTIFS('DATA INPUT'!$B$3:$B$3000,'Report Tables'!AT$1,'DATA INPUT'!$A$3:$A$3000,"&gt;="&amp;DATE(2018,6,1),'DATA INPUT'!$A$3:$A$3000,"&lt;"&amp;DATE(2018,6,31)),#N/A),IFERROR((SUMIFS('DATA INPUT'!$E$3:$E$3000,'DATA INPUT'!$B$3:$B$3000,'Report Tables'!AT$1,'DATA INPUT'!$A$3:$A$3000,"&gt;="&amp;DATE(2018,6,1),'DATA INPUT'!$A$3:$A$3000,"&lt;"&amp;DATE(2018,6,31),'DATA INPUT'!$F$3:$F$3000,"&lt;&gt;*Exclude*"))/(COUNTIFS('DATA INPUT'!$B$3:$B$3000,'Report Tables'!AT$1,'DATA INPUT'!$A$3:$A$3000,"&gt;="&amp;DATE(2018,6,1),'DATA INPUT'!$A$3:$A$3000,"&lt;"&amp;DATE(2018,6,31),'DATA INPUT'!$F$3:$F$3000,"&lt;&gt;*Exclude*")),#N/A))</f>
        <v>#N/A</v>
      </c>
      <c r="AU20" s="117" t="e">
        <f t="shared" si="1"/>
        <v>#N/A</v>
      </c>
      <c r="AV20" s="117" t="e">
        <f>IF($L$2="Yes",IFERROR((SUMIFS('DATA INPUT'!$D$3:$D$3000,'DATA INPUT'!$A$3:$A$3000,"&gt;="&amp;DATE(2018,6,1),'DATA INPUT'!$A$3:$A$3000,"&lt;"&amp;DATE(2018,6,31),'DATA INPUT'!$G$3:$G$3000,"&lt;&gt;*School service*"))/COUNTIFS('DATA INPUT'!$A$3:$A$3000,"&gt;="&amp;DATE(2018,6,1),'DATA INPUT'!$A$3:$A$3000,"&lt;"&amp;DATE(2018,6,31),'DATA INPUT'!$G$3:$G$3000,"&lt;&gt;*School service*",'DATA INPUT'!$D$3:$D$3000,"&lt;&gt;"&amp;""),#N/A),IFERROR((SUMIFS('DATA INPUT'!$D$3:$D$3000,'DATA INPUT'!$A$3:$A$3000,"&gt;="&amp;DATE(2018,6,1),'DATA INPUT'!$A$3:$A$3000,"&lt;"&amp;DATE(2018,6,31),'DATA INPUT'!$F$3:$F$3000,"&lt;&gt;*Exclude*",'DATA INPUT'!$G$3:$G$3000,"&lt;&gt;*School service*"))/(COUNTIFS('DATA INPUT'!$A$3:$A$3000,"&gt;="&amp;DATE(2018,6,1),'DATA INPUT'!$A$3:$A$3000,"&lt;"&amp;DATE(2018,6,31),'DATA INPUT'!$F$3:$F$3000,"&lt;&gt;*Exclude*",'DATA INPUT'!$G$3:$G$3000,"&lt;&gt;*School service*",'DATA INPUT'!$D$3:$D$3000,"&lt;&gt;"&amp;"")),#N/A))</f>
        <v>#N/A</v>
      </c>
      <c r="AW20" s="117" t="e">
        <f t="shared" si="2"/>
        <v>#N/A</v>
      </c>
      <c r="AX20" s="117" t="e">
        <f>IF($L$2="Yes",IFERROR((SUMIFS('DATA INPUT'!$E$3:$E$3000,'DATA INPUT'!$B$3:$B$3000,'Report Tables'!AX$1,'DATA INPUT'!$A$3:$A$3000,"&gt;="&amp;DATE(2018,6,1),'DATA INPUT'!$A$3:$A$3000,"&lt;"&amp;DATE(2018,6,31)))/COUNTIFS('DATA INPUT'!$B$3:$B$3000,'Report Tables'!AX$1,'DATA INPUT'!$A$3:$A$3000,"&gt;="&amp;DATE(2018,6,1),'DATA INPUT'!$A$3:$A$3000,"&lt;"&amp;DATE(2018,6,31)),#N/A),IFERROR((SUMIFS('DATA INPUT'!$E$3:$E$3000,'DATA INPUT'!$B$3:$B$3000,'Report Tables'!AX$1,'DATA INPUT'!$A$3:$A$3000,"&gt;="&amp;DATE(2018,6,1),'DATA INPUT'!$A$3:$A$3000,"&lt;"&amp;DATE(2018,6,31),'DATA INPUT'!$F$3:$F$3000,"&lt;&gt;*Exclude*"))/(COUNTIFS('DATA INPUT'!$B$3:$B$3000,'Report Tables'!AX$1,'DATA INPUT'!$A$3:$A$3000,"&gt;="&amp;DATE(2018,6,1),'DATA INPUT'!$A$3:$A$3000,"&lt;"&amp;DATE(2018,6,31),'DATA INPUT'!$F$3:$F$3000,"&lt;&gt;*Exclude*")),#N/A))</f>
        <v>#N/A</v>
      </c>
      <c r="AY20" s="117" t="e">
        <f>IF($L$2="Yes",IFERROR((SUMIFS('DATA INPUT'!$D$3:$D$3000,'DATA INPUT'!$B$3:$B$3000,'Report Tables'!AX$1,'DATA INPUT'!$A$3:$A$3000,"&gt;="&amp;DATE(2018,6,1),'DATA INPUT'!$A$3:$A$3000,"&lt;"&amp;DATE(2018,6,31)))/COUNTIFS('DATA INPUT'!$B$3:$B$3000,'Report Tables'!AX$1,'DATA INPUT'!$A$3:$A$3000,"&gt;="&amp;DATE(2018,6,1),'DATA INPUT'!$A$3:$A$3000,"&lt;"&amp;DATE(2018,6,31)),#N/A),IFERROR((SUMIFS('DATA INPUT'!$D$3:$D$3000,'DATA INPUT'!$B$3:$B$3000,'Report Tables'!AX$1,'DATA INPUT'!$A$3:$A$3000,"&gt;="&amp;DATE(2018,6,1),'DATA INPUT'!$A$3:$A$3000,"&lt;"&amp;DATE(2018,6,31),'DATA INPUT'!$F$3:$F$3000,"&lt;&gt;*Exclude*"))/(COUNTIFS('DATA INPUT'!$B$3:$B$3000,'Report Tables'!AX$1,'DATA INPUT'!$A$3:$A$3000,"&gt;="&amp;DATE(2018,6,1),'DATA INPUT'!$A$3:$A$3000,"&lt;"&amp;DATE(2018,6,31),'DATA INPUT'!$F$3:$F$3000,"&lt;&gt;*Exclude*")),#N/A))</f>
        <v>#N/A</v>
      </c>
      <c r="AZ20" s="117" t="e">
        <f>IF($L$2="Yes",IFERROR((SUMIFS('DATA INPUT'!$C$3:$C$3000,'DATA INPUT'!$B$3:$B$3000,'Report Tables'!AX$1,'DATA INPUT'!$A$3:$A$3000,"&gt;="&amp;DATE(2018,6,1),'DATA INPUT'!$A$3:$A$3000,"&lt;"&amp;DATE(2018,6,31)))/COUNTIFS('DATA INPUT'!$B$3:$B$3000,'Report Tables'!AX$1,'DATA INPUT'!$A$3:$A$3000,"&gt;="&amp;DATE(2018,6,1),'DATA INPUT'!$A$3:$A$3000,"&lt;"&amp;DATE(2018,6,31)),#N/A),IFERROR((SUMIFS('DATA INPUT'!$C$3:$C$3000,'DATA INPUT'!$B$3:$B$3000,'Report Tables'!AX$1,'DATA INPUT'!$A$3:$A$3000,"&gt;="&amp;DATE(2018,6,1),'DATA INPUT'!$A$3:$A$3000,"&lt;"&amp;DATE(2018,6,31),'DATA INPUT'!$F$3:$F$3000,"&lt;&gt;*Exclude*"))/(COUNTIFS('DATA INPUT'!$B$3:$B$3000,'Report Tables'!AX$1,'DATA INPUT'!$A$3:$A$3000,"&gt;="&amp;DATE(2018,6,1),'DATA INPUT'!$A$3:$A$3000,"&lt;"&amp;DATE(2018,6,31),'DATA INPUT'!$F$3:$F$3000,"&lt;&gt;*Exclude*")),#N/A))</f>
        <v>#N/A</v>
      </c>
    </row>
    <row r="21" spans="1:52" x14ac:dyDescent="0.3">
      <c r="A21" s="95" t="e">
        <f>VLOOKUP(B21,Information!$C$8:$F$15,4,FALSE)</f>
        <v>#N/A</v>
      </c>
      <c r="B21" s="52">
        <f>$B$9</f>
        <v>0</v>
      </c>
      <c r="C21" s="59">
        <f>IF($L$2="Yes",IFERROR((SUMIFS('DATA INPUT'!$E$3:$E$3000,'DATA INPUT'!$A$3:$A$3000,"&gt;="&amp;DATE(2017,1,1),'DATA INPUT'!$A$3:$A$3000,"&lt;="&amp;DATE(2017,12,31),'DATA INPUT'!$B$3:$B$3000,$B21)),#N/A),IFERROR((SUMIFS('DATA INPUT'!$E$3:$E$3000,'DATA INPUT'!$A$3:$A$3000,"&gt;="&amp;DATE(2017,1,1),'DATA INPUT'!$A$3:$A$3000,"&lt;="&amp;DATE(2017,12,31),'DATA INPUT'!$B$3:$B$3000,$B21,'DATA INPUT'!$F$3:$F$3000,"&lt;&gt;*Exclude*")),#N/A))</f>
        <v>0</v>
      </c>
      <c r="D21" s="59">
        <f>IF($L$2="Yes",IFERROR((SUMIFS('DATA INPUT'!$E$3:$E$3000,'DATA INPUT'!$A$3:$A$3000,"&gt;="&amp;DATE(2018,1,1),'DATA INPUT'!$A$3:$A$3000,"&lt;="&amp;DATE(2018,12,31),'DATA INPUT'!$B$3:$B$3000,$B21)),#N/A),IFERROR((SUMIFS('DATA INPUT'!$E$3:$E$3000,'DATA INPUT'!$A$3:$A$3000,"&gt;="&amp;DATE(2018,1,1),'DATA INPUT'!$A$3:$A$3000,"&lt;="&amp;DATE(2018,12,31),'DATA INPUT'!$B$3:$B$3000,$B21,'DATA INPUT'!$F$3:$F$3000,"&lt;&gt;*Exclude*")),#N/A))</f>
        <v>0</v>
      </c>
      <c r="E21" s="59">
        <f>IF($L$2="Yes",IFERROR((SUMIFS('DATA INPUT'!$E$3:$E$3000,'DATA INPUT'!$A$3:$A$3000,"&gt;="&amp;DATE(2019,1,1),'DATA INPUT'!$A$3:$A$3000,"&lt;="&amp;DATE(2019,12,31),'DATA INPUT'!$B$3:$B$3000,$B21)),#N/A),IFERROR((SUMIFS('DATA INPUT'!$E$3:$E$3000,'DATA INPUT'!$A$3:$A$3000,"&gt;="&amp;DATE(2019,1,1),'DATA INPUT'!$A$3:$A$3000,"&lt;="&amp;DATE(2019,12,31),'DATA INPUT'!$B$3:$B$3000,$B21,'DATA INPUT'!$F$3:$F$3000,"&lt;&gt;*Exclude*")),#N/A))</f>
        <v>0</v>
      </c>
      <c r="F21" s="59">
        <f>IF($L$2="Yes",IFERROR((SUMIFS('DATA INPUT'!$E$3:$E$3000,'DATA INPUT'!$A$3:$A$3000,"&gt;="&amp;DATE(2020,1,1),'DATA INPUT'!$A$3:$A$3000,"&lt;="&amp;DATE(2020,12,31),'DATA INPUT'!$B$3:$B$3000,$B21)),#N/A),IFERROR((SUMIFS('DATA INPUT'!$E$3:$E$3000,'DATA INPUT'!$A$3:$A$3000,"&gt;="&amp;DATE(2020,1,1),'DATA INPUT'!$A$3:$A$3000,"&lt;="&amp;DATE(2020,12,31),'DATA INPUT'!$B$3:$B$3000,$B21,'DATA INPUT'!$F$3:$F$3000,"&lt;&gt;*Exclude*")),#N/A))</f>
        <v>0</v>
      </c>
      <c r="G21" s="59">
        <f>IF($L$2="Yes",IFERROR((SUMIFS('DATA INPUT'!$E$3:$E$3000,'DATA INPUT'!$A$3:$A$3000,"&gt;="&amp;DATE(2021,1,1),'DATA INPUT'!$A$3:$A$3000,"&lt;="&amp;DATE(2021,12,31),'DATA INPUT'!$B$3:$B$3000,$B21)),#N/A),IFERROR((SUMIFS('DATA INPUT'!$E$3:$E$3000,'DATA INPUT'!$A$3:$A$3000,"&gt;="&amp;DATE(2021,1,1),'DATA INPUT'!$A$3:$A$3000,"&lt;="&amp;DATE(2021,12,31),'DATA INPUT'!$B$3:$B$3000,$B21,'DATA INPUT'!$F$3:$F$3000,"&lt;&gt;*Exclude*")),#N/A))</f>
        <v>0</v>
      </c>
      <c r="H21" s="59">
        <f>IF($L$2="Yes",IFERROR((SUMIFS('DATA INPUT'!$E$3:$E$3000,'DATA INPUT'!$A$3:$A$3000,"&gt;="&amp;DATE(2022,1,1),'DATA INPUT'!$A$3:$A$3000,"&lt;="&amp;DATE(2022,12,31),'DATA INPUT'!$B$3:$B$3000,$B21)),#N/A),IFERROR((SUMIFS('DATA INPUT'!$E$3:$E$3000,'DATA INPUT'!$A$3:$A$3000,"&gt;="&amp;DATE(2022,1,1),'DATA INPUT'!$A$3:$A$3000,"&lt;="&amp;DATE(2022,12,31),'DATA INPUT'!$B$3:$B$3000,$B21,'DATA INPUT'!$F$3:$F$3000,"&lt;&gt;*Exclude*")),#N/A))</f>
        <v>0</v>
      </c>
      <c r="I21" s="59">
        <f>IF($L$2="Yes",IFERROR((SUMIFS('DATA INPUT'!$E$3:$E$3000,'DATA INPUT'!$A$3:$A$3000,"&gt;="&amp;DATE(2023,1,1),'DATA INPUT'!$A$3:$A$3000,"&lt;="&amp;DATE(2023,12,31),'DATA INPUT'!$B$3:$B$3000,$B21)),#N/A),IFERROR((SUMIFS('DATA INPUT'!$E$3:$E$3000,'DATA INPUT'!$A$3:$A$3000,"&gt;="&amp;DATE(2023,1,1),'DATA INPUT'!$A$3:$A$3000,"&lt;="&amp;DATE(2023,12,31),'DATA INPUT'!$B$3:$B$3000,$B21,'DATA INPUT'!$F$3:$F$3000,"&lt;&gt;*Exclude*")),#N/A))</f>
        <v>0</v>
      </c>
      <c r="J21" s="59">
        <f>IF($L$2="Yes",IFERROR((SUMIFS('DATA INPUT'!$E$3:$E$3000,'DATA INPUT'!$A$3:$A$3000,"&gt;="&amp;DATE(2024,1,1),'DATA INPUT'!$A$3:$A$3000,"&lt;="&amp;DATE(2024,12,31),'DATA INPUT'!$B$3:$B$3000,$B21)),#N/A),IFERROR((SUMIFS('DATA INPUT'!$E$3:$E$3000,'DATA INPUT'!$A$3:$A$3000,"&gt;="&amp;DATE(2024,1,1),'DATA INPUT'!$A$3:$A$3000,"&lt;="&amp;DATE(2024,12,31),'DATA INPUT'!$B$3:$B$3000,$B21,'DATA INPUT'!$F$3:$F$3000,"&lt;&gt;*Exclude*")),#N/A))</f>
        <v>0</v>
      </c>
      <c r="K21" s="59">
        <f>IF($L$2="Yes",IFERROR((SUMIFS('DATA INPUT'!$E$3:$E$3000,'DATA INPUT'!$A$3:$A$3000,"&gt;="&amp;DATE(2025,1,1),'DATA INPUT'!$A$3:$A$3000,"&lt;="&amp;DATE(2025,12,31),'DATA INPUT'!$B$3:$B$3000,$B21)),#N/A),IFERROR((SUMIFS('DATA INPUT'!$E$3:$E$3000,'DATA INPUT'!$A$3:$A$3000,"&gt;="&amp;DATE(2025,1,1),'DATA INPUT'!$A$3:$A$3000,"&lt;="&amp;DATE(2025,12,31),'DATA INPUT'!$B$3:$B$3000,$B21,'DATA INPUT'!$F$3:$F$3000,"&lt;&gt;*Exclude*")),#N/A))</f>
        <v>0</v>
      </c>
      <c r="L21" s="103">
        <f t="shared" si="8"/>
        <v>0</v>
      </c>
      <c r="M21" s="105" t="str">
        <f t="shared" si="9"/>
        <v/>
      </c>
      <c r="Y21" s="149"/>
      <c r="Z21" s="149" t="s">
        <v>18</v>
      </c>
      <c r="AA21" s="136" t="e">
        <f>IF($L$2="Yes",IF(SUMIFS('DATA INPUT'!$E$3:$E$3000,'DATA INPUT'!$B$3:$B$3000,'Report Tables'!AA$1,'DATA INPUT'!$A$3:$A$3000,"&gt;="&amp;DATE(2018,7,1),'DATA INPUT'!$A$3:$A$3000,"&lt;"&amp;DATE(2018,7,31))=0,#N/A,(SUMIFS('DATA INPUT'!$E$3:$E$3000,'DATA INPUT'!$B$3:$B$3000,'Report Tables'!AA$1,'DATA INPUT'!$A$3:$A$3000,"&gt;="&amp;DATE(2018,7,1),'DATA INPUT'!$A$3:$A$3000,"&lt;"&amp;DATE(2018,7,31)))),IF(SUMIFS('DATA INPUT'!$E$3:$E$3000,'DATA INPUT'!$B$3:$B$3000,'Report Tables'!AA$1,'DATA INPUT'!$A$3:$A$3000,"&gt;="&amp;DATE(2018,7,1),'DATA INPUT'!$A$3:$A$3000,"&lt;"&amp;DATE(2018,7,31),'DATA INPUT'!$F$3:$F$3000,"&lt;&gt;*Exclude*")=0,#N/A,(SUMIFS('DATA INPUT'!$E$3:$E$3000,'DATA INPUT'!$B$3:$B$3000,'Report Tables'!AA$1,'DATA INPUT'!$A$3:$A$3000,"&gt;="&amp;DATE(2018,7,1),'DATA INPUT'!$A$3:$A$3000,"&lt;"&amp;DATE(2018,7,31),'DATA INPUT'!$F$3:$F$3000,"&lt;&gt;*Exclude*"))))</f>
        <v>#N/A</v>
      </c>
      <c r="AB21" s="136" t="e">
        <f>IF($L$2="Yes",IF(SUMIFS('DATA INPUT'!$E$3:$E$3000,'DATA INPUT'!$B$3:$B$3000,'Report Tables'!AB$1,'DATA INPUT'!$A$3:$A$3000,"&gt;="&amp;DATE(2018,7,1),'DATA INPUT'!$A$3:$A$3000,"&lt;"&amp;DATE(2018,7,31))=0,#N/A,(SUMIFS('DATA INPUT'!$E$3:$E$3000,'DATA INPUT'!$B$3:$B$3000,'Report Tables'!AB$1,'DATA INPUT'!$A$3:$A$3000,"&gt;="&amp;DATE(2018,7,1),'DATA INPUT'!$A$3:$A$3000,"&lt;"&amp;DATE(2018,7,31)))),IF(SUMIFS('DATA INPUT'!$E$3:$E$3000,'DATA INPUT'!$B$3:$B$3000,'Report Tables'!AB$1,'DATA INPUT'!$A$3:$A$3000,"&gt;="&amp;DATE(2018,7,1),'DATA INPUT'!$A$3:$A$3000,"&lt;"&amp;DATE(2018,7,31),'DATA INPUT'!$F$3:$F$3000,"&lt;&gt;*Exclude*")=0,#N/A,(SUMIFS('DATA INPUT'!$E$3:$E$3000,'DATA INPUT'!$B$3:$B$3000,'Report Tables'!AB$1,'DATA INPUT'!$A$3:$A$3000,"&gt;="&amp;DATE(2018,7,1),'DATA INPUT'!$A$3:$A$3000,"&lt;"&amp;DATE(2018,7,31),'DATA INPUT'!$F$3:$F$3000,"&lt;&gt;*Exclude*"))))</f>
        <v>#N/A</v>
      </c>
      <c r="AC21" s="136" t="e">
        <f>IF($L$2="Yes",IF(SUMIFS('DATA INPUT'!$E$3:$E$3000,'DATA INPUT'!$B$3:$B$3000,'Report Tables'!AC$1,'DATA INPUT'!$A$3:$A$3000,"&gt;="&amp;DATE(2018,7,1),'DATA INPUT'!$A$3:$A$3000,"&lt;"&amp;DATE(2018,7,31))=0,#N/A,(SUMIFS('DATA INPUT'!$E$3:$E$3000,'DATA INPUT'!$B$3:$B$3000,'Report Tables'!AC$1,'DATA INPUT'!$A$3:$A$3000,"&gt;="&amp;DATE(2018,7,1),'DATA INPUT'!$A$3:$A$3000,"&lt;"&amp;DATE(2018,7,31)))),IF(SUMIFS('DATA INPUT'!$E$3:$E$3000,'DATA INPUT'!$B$3:$B$3000,'Report Tables'!AC$1,'DATA INPUT'!$A$3:$A$3000,"&gt;="&amp;DATE(2018,7,1),'DATA INPUT'!$A$3:$A$3000,"&lt;"&amp;DATE(2018,7,31),'DATA INPUT'!$F$3:$F$3000,"&lt;&gt;*Exclude*")=0,#N/A,(SUMIFS('DATA INPUT'!$E$3:$E$3000,'DATA INPUT'!$B$3:$B$3000,'Report Tables'!AC$1,'DATA INPUT'!$A$3:$A$3000,"&gt;="&amp;DATE(2018,7,1),'DATA INPUT'!$A$3:$A$3000,"&lt;"&amp;DATE(2018,7,31),'DATA INPUT'!$F$3:$F$3000,"&lt;&gt;*Exclude*"))))</f>
        <v>#N/A</v>
      </c>
      <c r="AD21" s="136" t="e">
        <f>IF($L$2="Yes",IF(SUMIFS('DATA INPUT'!$E$3:$E$3000,'DATA INPUT'!$B$3:$B$3000,'Report Tables'!AD$1,'DATA INPUT'!$A$3:$A$3000,"&gt;="&amp;DATE(2018,7,1),'DATA INPUT'!$A$3:$A$3000,"&lt;"&amp;DATE(2018,7,31))=0,#N/A,(SUMIFS('DATA INPUT'!$E$3:$E$3000,'DATA INPUT'!$B$3:$B$3000,'Report Tables'!AD$1,'DATA INPUT'!$A$3:$A$3000,"&gt;="&amp;DATE(2018,7,1),'DATA INPUT'!$A$3:$A$3000,"&lt;"&amp;DATE(2018,7,31)))),IF(SUMIFS('DATA INPUT'!$E$3:$E$3000,'DATA INPUT'!$B$3:$B$3000,'Report Tables'!AD$1,'DATA INPUT'!$A$3:$A$3000,"&gt;="&amp;DATE(2018,7,1),'DATA INPUT'!$A$3:$A$3000,"&lt;"&amp;DATE(2018,7,31),'DATA INPUT'!$F$3:$F$3000,"&lt;&gt;*Exclude*")=0,#N/A,(SUMIFS('DATA INPUT'!$E$3:$E$3000,'DATA INPUT'!$B$3:$B$3000,'Report Tables'!AD$1,'DATA INPUT'!$A$3:$A$3000,"&gt;="&amp;DATE(2018,7,1),'DATA INPUT'!$A$3:$A$3000,"&lt;"&amp;DATE(2018,7,31),'DATA INPUT'!$F$3:$F$3000,"&lt;&gt;*Exclude*"))))</f>
        <v>#N/A</v>
      </c>
      <c r="AE21" s="136" t="e">
        <f>IF($L$2="Yes",IF(SUMIFS('DATA INPUT'!$E$3:$E$3000,'DATA INPUT'!$B$3:$B$3000,'Report Tables'!AE$1,'DATA INPUT'!$A$3:$A$3000,"&gt;="&amp;DATE(2018,7,1),'DATA INPUT'!$A$3:$A$3000,"&lt;"&amp;DATE(2018,7,31))=0,#N/A,(SUMIFS('DATA INPUT'!$E$3:$E$3000,'DATA INPUT'!$B$3:$B$3000,'Report Tables'!AE$1,'DATA INPUT'!$A$3:$A$3000,"&gt;="&amp;DATE(2018,7,1),'DATA INPUT'!$A$3:$A$3000,"&lt;"&amp;DATE(2018,7,31)))),IF(SUMIFS('DATA INPUT'!$E$3:$E$3000,'DATA INPUT'!$B$3:$B$3000,'Report Tables'!AE$1,'DATA INPUT'!$A$3:$A$3000,"&gt;="&amp;DATE(2018,7,1),'DATA INPUT'!$A$3:$A$3000,"&lt;"&amp;DATE(2018,7,31),'DATA INPUT'!$F$3:$F$3000,"&lt;&gt;*Exclude*")=0,#N/A,(SUMIFS('DATA INPUT'!$E$3:$E$3000,'DATA INPUT'!$B$3:$B$3000,'Report Tables'!AE$1,'DATA INPUT'!$A$3:$A$3000,"&gt;="&amp;DATE(2018,7,1),'DATA INPUT'!$A$3:$A$3000,"&lt;"&amp;DATE(2018,7,31),'DATA INPUT'!$F$3:$F$3000,"&lt;&gt;*Exclude*"))))</f>
        <v>#N/A</v>
      </c>
      <c r="AF21" s="136" t="e">
        <f>IF($L$2="Yes",IF(SUMIFS('DATA INPUT'!$E$3:$E$3000,'DATA INPUT'!$B$3:$B$3000,'Report Tables'!AF$1,'DATA INPUT'!$A$3:$A$3000,"&gt;="&amp;DATE(2018,7,1),'DATA INPUT'!$A$3:$A$3000,"&lt;"&amp;DATE(2018,7,31))=0,#N/A,(SUMIFS('DATA INPUT'!$E$3:$E$3000,'DATA INPUT'!$B$3:$B$3000,'Report Tables'!AF$1,'DATA INPUT'!$A$3:$A$3000,"&gt;="&amp;DATE(2018,7,1),'DATA INPUT'!$A$3:$A$3000,"&lt;"&amp;DATE(2018,7,31)))),IF(SUMIFS('DATA INPUT'!$E$3:$E$3000,'DATA INPUT'!$B$3:$B$3000,'Report Tables'!AF$1,'DATA INPUT'!$A$3:$A$3000,"&gt;="&amp;DATE(2018,7,1),'DATA INPUT'!$A$3:$A$3000,"&lt;"&amp;DATE(2018,7,31),'DATA INPUT'!$F$3:$F$3000,"&lt;&gt;*Exclude*")=0,#N/A,(SUMIFS('DATA INPUT'!$E$3:$E$3000,'DATA INPUT'!$B$3:$B$3000,'Report Tables'!AF$1,'DATA INPUT'!$A$3:$A$3000,"&gt;="&amp;DATE(2018,7,1),'DATA INPUT'!$A$3:$A$3000,"&lt;"&amp;DATE(2018,7,31),'DATA INPUT'!$F$3:$F$3000,"&lt;&gt;*Exclude*"))))</f>
        <v>#N/A</v>
      </c>
      <c r="AG21" s="136" t="e">
        <f>IF($L$2="Yes",IF(SUMIFS('DATA INPUT'!$E$3:$E$3000,'DATA INPUT'!$B$3:$B$3000,'Report Tables'!AG$1,'DATA INPUT'!$A$3:$A$3000,"&gt;="&amp;DATE(2018,7,1),'DATA INPUT'!$A$3:$A$3000,"&lt;"&amp;DATE(2018,7,31))=0,#N/A,(SUMIFS('DATA INPUT'!$E$3:$E$3000,'DATA INPUT'!$B$3:$B$3000,'Report Tables'!AG$1,'DATA INPUT'!$A$3:$A$3000,"&gt;="&amp;DATE(2018,7,1),'DATA INPUT'!$A$3:$A$3000,"&lt;"&amp;DATE(2018,7,31)))),IF(SUMIFS('DATA INPUT'!$E$3:$E$3000,'DATA INPUT'!$B$3:$B$3000,'Report Tables'!AG$1,'DATA INPUT'!$A$3:$A$3000,"&gt;="&amp;DATE(2018,7,1),'DATA INPUT'!$A$3:$A$3000,"&lt;"&amp;DATE(2018,7,31),'DATA INPUT'!$F$3:$F$3000,"&lt;&gt;*Exclude*")=0,#N/A,(SUMIFS('DATA INPUT'!$E$3:$E$3000,'DATA INPUT'!$B$3:$B$3000,'Report Tables'!AG$1,'DATA INPUT'!$A$3:$A$3000,"&gt;="&amp;DATE(2018,7,1),'DATA INPUT'!$A$3:$A$3000,"&lt;"&amp;DATE(2018,7,31),'DATA INPUT'!$F$3:$F$3000,"&lt;&gt;*Exclude*"))))</f>
        <v>#N/A</v>
      </c>
      <c r="AH21" s="136" t="e">
        <f>IF($L$2="Yes",IF(SUMIFS('DATA INPUT'!$E$3:$E$3000,'DATA INPUT'!$B$3:$B$3000,'Report Tables'!AH$1,'DATA INPUT'!$A$3:$A$3000,"&gt;="&amp;DATE(2018,7,1),'DATA INPUT'!$A$3:$A$3000,"&lt;"&amp;DATE(2018,7,31))=0,#N/A,(SUMIFS('DATA INPUT'!$E$3:$E$3000,'DATA INPUT'!$B$3:$B$3000,'Report Tables'!AH$1,'DATA INPUT'!$A$3:$A$3000,"&gt;="&amp;DATE(2018,7,1),'DATA INPUT'!$A$3:$A$3000,"&lt;"&amp;DATE(2018,7,31)))),IF(SUMIFS('DATA INPUT'!$E$3:$E$3000,'DATA INPUT'!$B$3:$B$3000,'Report Tables'!AH$1,'DATA INPUT'!$A$3:$A$3000,"&gt;="&amp;DATE(2018,7,1),'DATA INPUT'!$A$3:$A$3000,"&lt;"&amp;DATE(2018,7,31),'DATA INPUT'!$F$3:$F$3000,"&lt;&gt;*Exclude*")=0,#N/A,(SUMIFS('DATA INPUT'!$E$3:$E$3000,'DATA INPUT'!$B$3:$B$3000,'Report Tables'!AH$1,'DATA INPUT'!$A$3:$A$3000,"&gt;="&amp;DATE(2018,7,1),'DATA INPUT'!$A$3:$A$3000,"&lt;"&amp;DATE(2018,7,31),'DATA INPUT'!$F$3:$F$3000,"&lt;&gt;*Exclude*"))))</f>
        <v>#N/A</v>
      </c>
      <c r="AI21" s="136" t="e">
        <f t="shared" si="0"/>
        <v>#N/A</v>
      </c>
      <c r="AJ21" s="136" t="e">
        <f>IF($L$2="Yes",IF(SUMIFS('DATA INPUT'!$D$3:$D$3000,'DATA INPUT'!$A$3:$A$3000,"&gt;="&amp;DATE(2018,7,1),'DATA INPUT'!$A$3:$A$3000,"&lt;"&amp;DATE(2018,7,31),'DATA INPUT'!$G$3:$G$3000,"&lt;&gt;*School service*")=0,#N/A,(SUMIFS('DATA INPUT'!$D$3:$D$3000,'DATA INPUT'!$A$3:$A$3000,"&gt;="&amp;DATE(2018,7,1),'DATA INPUT'!$A$3:$A$3000,"&lt;"&amp;DATE(2018,7,31),'DATA INPUT'!$G$3:$G$3000,"&lt;&gt;*School service*"))),IF(SUMIFS('DATA INPUT'!$D$3:$D$3000,'DATA INPUT'!$A$3:$A$3000,"&gt;="&amp;DATE(2018,7,1),'DATA INPUT'!$A$3:$A$3000,"&lt;"&amp;DATE(2018,7,31),'DATA INPUT'!$F$3:$F$3000,"&lt;&gt;*Exclude*",'DATA INPUT'!$G$3:$G$3000,"&lt;&gt;*School service*")=0,#N/A,(SUMIFS('DATA INPUT'!$D$3:$D$3000,'DATA INPUT'!$A$3:$A$3000,"&gt;="&amp;DATE(2018,7,1),'DATA INPUT'!$A$3:$A$3000,"&lt;"&amp;DATE(2018,7,31),'DATA INPUT'!$F$3:$F$3000,"&lt;&gt;*Exclude*",'DATA INPUT'!$G$3:$G$3000,"&lt;&gt;*School service*"))))</f>
        <v>#N/A</v>
      </c>
      <c r="AK21" s="136" t="e">
        <f>AI21-AJ21</f>
        <v>#N/A</v>
      </c>
      <c r="AM21" s="117" t="e">
        <f>IF($L$2="Yes",IFERROR((SUMIFS('DATA INPUT'!$E$3:$E$3000,'DATA INPUT'!$B$3:$B$3000,'Report Tables'!AM$1,'DATA INPUT'!$A$3:$A$3000,"&gt;="&amp;DATE(2018,7,1),'DATA INPUT'!$A$3:$A$3000,"&lt;"&amp;DATE(2018,7,31)))/COUNTIFS('DATA INPUT'!$B$3:$B$3000,'Report Tables'!AM$1,'DATA INPUT'!$A$3:$A$3000,"&gt;="&amp;DATE(2018,7,1),'DATA INPUT'!$A$3:$A$3000,"&lt;"&amp;DATE(2018,7,31)),#N/A),IFERROR((SUMIFS('DATA INPUT'!$E$3:$E$3000,'DATA INPUT'!$B$3:$B$3000,'Report Tables'!AM$1,'DATA INPUT'!$A$3:$A$3000,"&gt;="&amp;DATE(2018,7,1),'DATA INPUT'!$A$3:$A$3000,"&lt;"&amp;DATE(2018,7,31),'DATA INPUT'!$F$3:$F$3000,"&lt;&gt;*Exclude*"))/(COUNTIFS('DATA INPUT'!$B$3:$B$3000,'Report Tables'!AM$1,'DATA INPUT'!$A$3:$A$3000,"&gt;="&amp;DATE(2018,7,1),'DATA INPUT'!$A$3:$A$3000,"&lt;"&amp;DATE(2018,7,31),'DATA INPUT'!$F$3:$F$3000,"&lt;&gt;*Exclude*")),#N/A))</f>
        <v>#N/A</v>
      </c>
      <c r="AN21" s="117" t="e">
        <f>IF($L$2="Yes",IFERROR((SUMIFS('DATA INPUT'!$E$3:$E$3000,'DATA INPUT'!$B$3:$B$3000,'Report Tables'!AN$1,'DATA INPUT'!$A$3:$A$3000,"&gt;="&amp;DATE(2018,7,1),'DATA INPUT'!$A$3:$A$3000,"&lt;"&amp;DATE(2018,7,31)))/COUNTIFS('DATA INPUT'!$B$3:$B$3000,'Report Tables'!AN$1,'DATA INPUT'!$A$3:$A$3000,"&gt;="&amp;DATE(2018,7,1),'DATA INPUT'!$A$3:$A$3000,"&lt;"&amp;DATE(2018,7,31)),#N/A),IFERROR((SUMIFS('DATA INPUT'!$E$3:$E$3000,'DATA INPUT'!$B$3:$B$3000,'Report Tables'!AN$1,'DATA INPUT'!$A$3:$A$3000,"&gt;="&amp;DATE(2018,7,1),'DATA INPUT'!$A$3:$A$3000,"&lt;"&amp;DATE(2018,7,31),'DATA INPUT'!$F$3:$F$3000,"&lt;&gt;*Exclude*"))/(COUNTIFS('DATA INPUT'!$B$3:$B$3000,'Report Tables'!AN$1,'DATA INPUT'!$A$3:$A$3000,"&gt;="&amp;DATE(2018,7,1),'DATA INPUT'!$A$3:$A$3000,"&lt;"&amp;DATE(2018,7,31),'DATA INPUT'!$F$3:$F$3000,"&lt;&gt;*Exclude*")),#N/A))</f>
        <v>#N/A</v>
      </c>
      <c r="AO21" s="117" t="e">
        <f>IF($L$2="Yes",IFERROR((SUMIFS('DATA INPUT'!$E$3:$E$3000,'DATA INPUT'!$B$3:$B$3000,'Report Tables'!AO$1,'DATA INPUT'!$A$3:$A$3000,"&gt;="&amp;DATE(2018,7,1),'DATA INPUT'!$A$3:$A$3000,"&lt;"&amp;DATE(2018,7,31)))/COUNTIFS('DATA INPUT'!$B$3:$B$3000,'Report Tables'!AO$1,'DATA INPUT'!$A$3:$A$3000,"&gt;="&amp;DATE(2018,7,1),'DATA INPUT'!$A$3:$A$3000,"&lt;"&amp;DATE(2018,7,31)),#N/A),IFERROR((SUMIFS('DATA INPUT'!$E$3:$E$3000,'DATA INPUT'!$B$3:$B$3000,'Report Tables'!AO$1,'DATA INPUT'!$A$3:$A$3000,"&gt;="&amp;DATE(2018,7,1),'DATA INPUT'!$A$3:$A$3000,"&lt;"&amp;DATE(2018,7,31),'DATA INPUT'!$F$3:$F$3000,"&lt;&gt;*Exclude*"))/(COUNTIFS('DATA INPUT'!$B$3:$B$3000,'Report Tables'!AO$1,'DATA INPUT'!$A$3:$A$3000,"&gt;="&amp;DATE(2018,7,1),'DATA INPUT'!$A$3:$A$3000,"&lt;"&amp;DATE(2018,7,31),'DATA INPUT'!$F$3:$F$3000,"&lt;&gt;*Exclude*")),#N/A))</f>
        <v>#N/A</v>
      </c>
      <c r="AP21" s="117" t="e">
        <f>IF($L$2="Yes",IFERROR((SUMIFS('DATA INPUT'!$E$3:$E$3000,'DATA INPUT'!$B$3:$B$3000,'Report Tables'!AP$1,'DATA INPUT'!$A$3:$A$3000,"&gt;="&amp;DATE(2018,7,1),'DATA INPUT'!$A$3:$A$3000,"&lt;"&amp;DATE(2018,7,31)))/COUNTIFS('DATA INPUT'!$B$3:$B$3000,'Report Tables'!AP$1,'DATA INPUT'!$A$3:$A$3000,"&gt;="&amp;DATE(2018,7,1),'DATA INPUT'!$A$3:$A$3000,"&lt;"&amp;DATE(2018,7,31)),#N/A),IFERROR((SUMIFS('DATA INPUT'!$E$3:$E$3000,'DATA INPUT'!$B$3:$B$3000,'Report Tables'!AP$1,'DATA INPUT'!$A$3:$A$3000,"&gt;="&amp;DATE(2018,7,1),'DATA INPUT'!$A$3:$A$3000,"&lt;"&amp;DATE(2018,7,31),'DATA INPUT'!$F$3:$F$3000,"&lt;&gt;*Exclude*"))/(COUNTIFS('DATA INPUT'!$B$3:$B$3000,'Report Tables'!AP$1,'DATA INPUT'!$A$3:$A$3000,"&gt;="&amp;DATE(2018,7,1),'DATA INPUT'!$A$3:$A$3000,"&lt;"&amp;DATE(2018,7,31),'DATA INPUT'!$F$3:$F$3000,"&lt;&gt;*Exclude*")),#N/A))</f>
        <v>#N/A</v>
      </c>
      <c r="AQ21" s="117" t="e">
        <f>IF($L$2="Yes",IFERROR((SUMIFS('DATA INPUT'!$E$3:$E$3000,'DATA INPUT'!$B$3:$B$3000,'Report Tables'!AQ$1,'DATA INPUT'!$A$3:$A$3000,"&gt;="&amp;DATE(2018,7,1),'DATA INPUT'!$A$3:$A$3000,"&lt;"&amp;DATE(2018,7,31)))/COUNTIFS('DATA INPUT'!$B$3:$B$3000,'Report Tables'!AQ$1,'DATA INPUT'!$A$3:$A$3000,"&gt;="&amp;DATE(2018,7,1),'DATA INPUT'!$A$3:$A$3000,"&lt;"&amp;DATE(2018,7,31)),#N/A),IFERROR((SUMIFS('DATA INPUT'!$E$3:$E$3000,'DATA INPUT'!$B$3:$B$3000,'Report Tables'!AQ$1,'DATA INPUT'!$A$3:$A$3000,"&gt;="&amp;DATE(2018,7,1),'DATA INPUT'!$A$3:$A$3000,"&lt;"&amp;DATE(2018,7,31),'DATA INPUT'!$F$3:$F$3000,"&lt;&gt;*Exclude*"))/(COUNTIFS('DATA INPUT'!$B$3:$B$3000,'Report Tables'!AQ$1,'DATA INPUT'!$A$3:$A$3000,"&gt;="&amp;DATE(2018,7,1),'DATA INPUT'!$A$3:$A$3000,"&lt;"&amp;DATE(2018,7,31),'DATA INPUT'!$F$3:$F$3000,"&lt;&gt;*Exclude*")),#N/A))</f>
        <v>#N/A</v>
      </c>
      <c r="AR21" s="117" t="e">
        <f>IF($L$2="Yes",IFERROR((SUMIFS('DATA INPUT'!$E$3:$E$3000,'DATA INPUT'!$B$3:$B$3000,'Report Tables'!AR$1,'DATA INPUT'!$A$3:$A$3000,"&gt;="&amp;DATE(2018,7,1),'DATA INPUT'!$A$3:$A$3000,"&lt;"&amp;DATE(2018,7,31)))/COUNTIFS('DATA INPUT'!$B$3:$B$3000,'Report Tables'!AR$1,'DATA INPUT'!$A$3:$A$3000,"&gt;="&amp;DATE(2018,7,1),'DATA INPUT'!$A$3:$A$3000,"&lt;"&amp;DATE(2018,7,31)),#N/A),IFERROR((SUMIFS('DATA INPUT'!$E$3:$E$3000,'DATA INPUT'!$B$3:$B$3000,'Report Tables'!AR$1,'DATA INPUT'!$A$3:$A$3000,"&gt;="&amp;DATE(2018,7,1),'DATA INPUT'!$A$3:$A$3000,"&lt;"&amp;DATE(2018,7,31),'DATA INPUT'!$F$3:$F$3000,"&lt;&gt;*Exclude*"))/(COUNTIFS('DATA INPUT'!$B$3:$B$3000,'Report Tables'!AR$1,'DATA INPUT'!$A$3:$A$3000,"&gt;="&amp;DATE(2018,7,1),'DATA INPUT'!$A$3:$A$3000,"&lt;"&amp;DATE(2018,7,31),'DATA INPUT'!$F$3:$F$3000,"&lt;&gt;*Exclude*")),#N/A))</f>
        <v>#N/A</v>
      </c>
      <c r="AS21" s="117" t="e">
        <f>IF($L$2="Yes",IFERROR((SUMIFS('DATA INPUT'!$E$3:$E$3000,'DATA INPUT'!$B$3:$B$3000,'Report Tables'!AS$1,'DATA INPUT'!$A$3:$A$3000,"&gt;="&amp;DATE(2018,7,1),'DATA INPUT'!$A$3:$A$3000,"&lt;"&amp;DATE(2018,7,31)))/COUNTIFS('DATA INPUT'!$B$3:$B$3000,'Report Tables'!AS$1,'DATA INPUT'!$A$3:$A$3000,"&gt;="&amp;DATE(2018,7,1),'DATA INPUT'!$A$3:$A$3000,"&lt;"&amp;DATE(2018,7,31)),#N/A),IFERROR((SUMIFS('DATA INPUT'!$E$3:$E$3000,'DATA INPUT'!$B$3:$B$3000,'Report Tables'!AS$1,'DATA INPUT'!$A$3:$A$3000,"&gt;="&amp;DATE(2018,7,1),'DATA INPUT'!$A$3:$A$3000,"&lt;"&amp;DATE(2018,7,31),'DATA INPUT'!$F$3:$F$3000,"&lt;&gt;*Exclude*"))/(COUNTIFS('DATA INPUT'!$B$3:$B$3000,'Report Tables'!AS$1,'DATA INPUT'!$A$3:$A$3000,"&gt;="&amp;DATE(2018,7,1),'DATA INPUT'!$A$3:$A$3000,"&lt;"&amp;DATE(2018,7,31),'DATA INPUT'!$F$3:$F$3000,"&lt;&gt;*Exclude*")),#N/A))</f>
        <v>#N/A</v>
      </c>
      <c r="AT21" s="117" t="e">
        <f>IF($L$2="Yes",IFERROR((SUMIFS('DATA INPUT'!$E$3:$E$3000,'DATA INPUT'!$B$3:$B$3000,'Report Tables'!AT$1,'DATA INPUT'!$A$3:$A$3000,"&gt;="&amp;DATE(2018,7,1),'DATA INPUT'!$A$3:$A$3000,"&lt;"&amp;DATE(2018,7,31)))/COUNTIFS('DATA INPUT'!$B$3:$B$3000,'Report Tables'!AT$1,'DATA INPUT'!$A$3:$A$3000,"&gt;="&amp;DATE(2018,7,1),'DATA INPUT'!$A$3:$A$3000,"&lt;"&amp;DATE(2018,7,31)),#N/A),IFERROR((SUMIFS('DATA INPUT'!$E$3:$E$3000,'DATA INPUT'!$B$3:$B$3000,'Report Tables'!AT$1,'DATA INPUT'!$A$3:$A$3000,"&gt;="&amp;DATE(2018,7,1),'DATA INPUT'!$A$3:$A$3000,"&lt;"&amp;DATE(2018,7,31),'DATA INPUT'!$F$3:$F$3000,"&lt;&gt;*Exclude*"))/(COUNTIFS('DATA INPUT'!$B$3:$B$3000,'Report Tables'!AT$1,'DATA INPUT'!$A$3:$A$3000,"&gt;="&amp;DATE(2018,7,1),'DATA INPUT'!$A$3:$A$3000,"&lt;"&amp;DATE(2018,7,31),'DATA INPUT'!$F$3:$F$3000,"&lt;&gt;*Exclude*")),#N/A))</f>
        <v>#N/A</v>
      </c>
      <c r="AU21" s="117" t="e">
        <f t="shared" si="1"/>
        <v>#N/A</v>
      </c>
      <c r="AV21" s="117" t="e">
        <f>IF($L$2="Yes",IFERROR((SUMIFS('DATA INPUT'!$D$3:$D$3000,'DATA INPUT'!$A$3:$A$3000,"&gt;="&amp;DATE(2018,7,1),'DATA INPUT'!$A$3:$A$3000,"&lt;"&amp;DATE(2018,7,31),'DATA INPUT'!$G$3:$G$3000,"&lt;&gt;*School service*"))/COUNTIFS('DATA INPUT'!$A$3:$A$3000,"&gt;="&amp;DATE(2018,7,1),'DATA INPUT'!$A$3:$A$3000,"&lt;"&amp;DATE(2018,7,31),'DATA INPUT'!$G$3:$G$3000,"&lt;&gt;*School service*",'DATA INPUT'!$D$3:$D$3000,"&lt;&gt;"&amp;""),#N/A),IFERROR((SUMIFS('DATA INPUT'!$D$3:$D$3000,'DATA INPUT'!$A$3:$A$3000,"&gt;="&amp;DATE(2018,7,1),'DATA INPUT'!$A$3:$A$3000,"&lt;"&amp;DATE(2018,7,31),'DATA INPUT'!$F$3:$F$3000,"&lt;&gt;*Exclude*",'DATA INPUT'!$G$3:$G$3000,"&lt;&gt;*School service*"))/(COUNTIFS('DATA INPUT'!$A$3:$A$3000,"&gt;="&amp;DATE(2018,7,1),'DATA INPUT'!$A$3:$A$3000,"&lt;"&amp;DATE(2018,7,31),'DATA INPUT'!$F$3:$F$3000,"&lt;&gt;*Exclude*",'DATA INPUT'!$G$3:$G$3000,"&lt;&gt;*School service*",'DATA INPUT'!$D$3:$D$3000,"&lt;&gt;"&amp;"")),#N/A))</f>
        <v>#N/A</v>
      </c>
      <c r="AW21" s="117" t="e">
        <f t="shared" si="2"/>
        <v>#N/A</v>
      </c>
      <c r="AX21" s="117" t="e">
        <f>IF($L$2="Yes",IFERROR((SUMIFS('DATA INPUT'!$E$3:$E$3000,'DATA INPUT'!$B$3:$B$3000,'Report Tables'!AX$1,'DATA INPUT'!$A$3:$A$3000,"&gt;="&amp;DATE(2018,7,1),'DATA INPUT'!$A$3:$A$3000,"&lt;"&amp;DATE(2018,7,31)))/COUNTIFS('DATA INPUT'!$B$3:$B$3000,'Report Tables'!AX$1,'DATA INPUT'!$A$3:$A$3000,"&gt;="&amp;DATE(2018,7,1),'DATA INPUT'!$A$3:$A$3000,"&lt;"&amp;DATE(2018,7,31)),#N/A),IFERROR((SUMIFS('DATA INPUT'!$E$3:$E$3000,'DATA INPUT'!$B$3:$B$3000,'Report Tables'!AX$1,'DATA INPUT'!$A$3:$A$3000,"&gt;="&amp;DATE(2018,7,1),'DATA INPUT'!$A$3:$A$3000,"&lt;"&amp;DATE(2018,7,31),'DATA INPUT'!$F$3:$F$3000,"&lt;&gt;*Exclude*"))/(COUNTIFS('DATA INPUT'!$B$3:$B$3000,'Report Tables'!AX$1,'DATA INPUT'!$A$3:$A$3000,"&gt;="&amp;DATE(2018,7,1),'DATA INPUT'!$A$3:$A$3000,"&lt;"&amp;DATE(2018,7,31),'DATA INPUT'!$F$3:$F$3000,"&lt;&gt;*Exclude*")),#N/A))</f>
        <v>#N/A</v>
      </c>
      <c r="AY21" s="117" t="e">
        <f>IF($L$2="Yes",IFERROR((SUMIFS('DATA INPUT'!$D$3:$D$3000,'DATA INPUT'!$B$3:$B$3000,'Report Tables'!AX$1,'DATA INPUT'!$A$3:$A$3000,"&gt;="&amp;DATE(2018,7,1),'DATA INPUT'!$A$3:$A$3000,"&lt;"&amp;DATE(2018,7,31)))/COUNTIFS('DATA INPUT'!$B$3:$B$3000,'Report Tables'!AX$1,'DATA INPUT'!$A$3:$A$3000,"&gt;="&amp;DATE(2018,7,1),'DATA INPUT'!$A$3:$A$3000,"&lt;"&amp;DATE(2018,7,31)),#N/A),IFERROR((SUMIFS('DATA INPUT'!$D$3:$D$3000,'DATA INPUT'!$B$3:$B$3000,'Report Tables'!AX$1,'DATA INPUT'!$A$3:$A$3000,"&gt;="&amp;DATE(2018,7,1),'DATA INPUT'!$A$3:$A$3000,"&lt;"&amp;DATE(2018,7,31),'DATA INPUT'!$F$3:$F$3000,"&lt;&gt;*Exclude*"))/(COUNTIFS('DATA INPUT'!$B$3:$B$3000,'Report Tables'!AX$1,'DATA INPUT'!$A$3:$A$3000,"&gt;="&amp;DATE(2018,7,1),'DATA INPUT'!$A$3:$A$3000,"&lt;"&amp;DATE(2018,7,31),'DATA INPUT'!$F$3:$F$3000,"&lt;&gt;*Exclude*")),#N/A))</f>
        <v>#N/A</v>
      </c>
      <c r="AZ21" s="117" t="e">
        <f>IF($L$2="Yes",IFERROR((SUMIFS('DATA INPUT'!$C$3:$C$3000,'DATA INPUT'!$B$3:$B$3000,'Report Tables'!AX$1,'DATA INPUT'!$A$3:$A$3000,"&gt;="&amp;DATE(2018,7,1),'DATA INPUT'!$A$3:$A$3000,"&lt;"&amp;DATE(2018,7,31)))/COUNTIFS('DATA INPUT'!$B$3:$B$3000,'Report Tables'!AX$1,'DATA INPUT'!$A$3:$A$3000,"&gt;="&amp;DATE(2018,7,1),'DATA INPUT'!$A$3:$A$3000,"&lt;"&amp;DATE(2018,7,31)),#N/A),IFERROR((SUMIFS('DATA INPUT'!$C$3:$C$3000,'DATA INPUT'!$B$3:$B$3000,'Report Tables'!AX$1,'DATA INPUT'!$A$3:$A$3000,"&gt;="&amp;DATE(2018,7,1),'DATA INPUT'!$A$3:$A$3000,"&lt;"&amp;DATE(2018,7,31),'DATA INPUT'!$F$3:$F$3000,"&lt;&gt;*Exclude*"))/(COUNTIFS('DATA INPUT'!$B$3:$B$3000,'Report Tables'!AX$1,'DATA INPUT'!$A$3:$A$3000,"&gt;="&amp;DATE(2018,7,1),'DATA INPUT'!$A$3:$A$3000,"&lt;"&amp;DATE(2018,7,31),'DATA INPUT'!$F$3:$F$3000,"&lt;&gt;*Exclude*")),#N/A))</f>
        <v>#N/A</v>
      </c>
    </row>
    <row r="22" spans="1:52" x14ac:dyDescent="0.3">
      <c r="A22" s="95" t="e">
        <f>VLOOKUP(B22,Information!$C$8:$F$15,4,FALSE)</f>
        <v>#N/A</v>
      </c>
      <c r="B22" s="52">
        <f>$B$10</f>
        <v>0</v>
      </c>
      <c r="C22" s="59">
        <f>IF($L$2="Yes",IFERROR((SUMIFS('DATA INPUT'!$E$3:$E$3000,'DATA INPUT'!$A$3:$A$3000,"&gt;="&amp;DATE(2017,1,1),'DATA INPUT'!$A$3:$A$3000,"&lt;="&amp;DATE(2017,12,31),'DATA INPUT'!$B$3:$B$3000,$B22)),#N/A),IFERROR((SUMIFS('DATA INPUT'!$E$3:$E$3000,'DATA INPUT'!$A$3:$A$3000,"&gt;="&amp;DATE(2017,1,1),'DATA INPUT'!$A$3:$A$3000,"&lt;="&amp;DATE(2017,12,31),'DATA INPUT'!$B$3:$B$3000,$B22,'DATA INPUT'!$F$3:$F$3000,"&lt;&gt;*Exclude*")),#N/A))</f>
        <v>0</v>
      </c>
      <c r="D22" s="59">
        <f>IF($L$2="Yes",IFERROR((SUMIFS('DATA INPUT'!$E$3:$E$3000,'DATA INPUT'!$A$3:$A$3000,"&gt;="&amp;DATE(2018,1,1),'DATA INPUT'!$A$3:$A$3000,"&lt;="&amp;DATE(2018,12,31),'DATA INPUT'!$B$3:$B$3000,$B22)),#N/A),IFERROR((SUMIFS('DATA INPUT'!$E$3:$E$3000,'DATA INPUT'!$A$3:$A$3000,"&gt;="&amp;DATE(2018,1,1),'DATA INPUT'!$A$3:$A$3000,"&lt;="&amp;DATE(2018,12,31),'DATA INPUT'!$B$3:$B$3000,$B22,'DATA INPUT'!$F$3:$F$3000,"&lt;&gt;*Exclude*")),#N/A))</f>
        <v>0</v>
      </c>
      <c r="E22" s="59">
        <f>IF($L$2="Yes",IFERROR((SUMIFS('DATA INPUT'!$E$3:$E$3000,'DATA INPUT'!$A$3:$A$3000,"&gt;="&amp;DATE(2019,1,1),'DATA INPUT'!$A$3:$A$3000,"&lt;="&amp;DATE(2019,12,31),'DATA INPUT'!$B$3:$B$3000,$B22)),#N/A),IFERROR((SUMIFS('DATA INPUT'!$E$3:$E$3000,'DATA INPUT'!$A$3:$A$3000,"&gt;="&amp;DATE(2019,1,1),'DATA INPUT'!$A$3:$A$3000,"&lt;="&amp;DATE(2019,12,31),'DATA INPUT'!$B$3:$B$3000,$B22,'DATA INPUT'!$F$3:$F$3000,"&lt;&gt;*Exclude*")),#N/A))</f>
        <v>0</v>
      </c>
      <c r="F22" s="59">
        <f>IF($L$2="Yes",IFERROR((SUMIFS('DATA INPUT'!$E$3:$E$3000,'DATA INPUT'!$A$3:$A$3000,"&gt;="&amp;DATE(2020,1,1),'DATA INPUT'!$A$3:$A$3000,"&lt;="&amp;DATE(2020,12,31),'DATA INPUT'!$B$3:$B$3000,$B22)),#N/A),IFERROR((SUMIFS('DATA INPUT'!$E$3:$E$3000,'DATA INPUT'!$A$3:$A$3000,"&gt;="&amp;DATE(2020,1,1),'DATA INPUT'!$A$3:$A$3000,"&lt;="&amp;DATE(2020,12,31),'DATA INPUT'!$B$3:$B$3000,$B22,'DATA INPUT'!$F$3:$F$3000,"&lt;&gt;*Exclude*")),#N/A))</f>
        <v>0</v>
      </c>
      <c r="G22" s="59">
        <f>IF($L$2="Yes",IFERROR((SUMIFS('DATA INPUT'!$E$3:$E$3000,'DATA INPUT'!$A$3:$A$3000,"&gt;="&amp;DATE(2021,1,1),'DATA INPUT'!$A$3:$A$3000,"&lt;="&amp;DATE(2021,12,31),'DATA INPUT'!$B$3:$B$3000,$B22)),#N/A),IFERROR((SUMIFS('DATA INPUT'!$E$3:$E$3000,'DATA INPUT'!$A$3:$A$3000,"&gt;="&amp;DATE(2021,1,1),'DATA INPUT'!$A$3:$A$3000,"&lt;="&amp;DATE(2021,12,31),'DATA INPUT'!$B$3:$B$3000,$B22,'DATA INPUT'!$F$3:$F$3000,"&lt;&gt;*Exclude*")),#N/A))</f>
        <v>0</v>
      </c>
      <c r="H22" s="59">
        <f>IF($L$2="Yes",IFERROR((SUMIFS('DATA INPUT'!$E$3:$E$3000,'DATA INPUT'!$A$3:$A$3000,"&gt;="&amp;DATE(2022,1,1),'DATA INPUT'!$A$3:$A$3000,"&lt;="&amp;DATE(2022,12,31),'DATA INPUT'!$B$3:$B$3000,$B22)),#N/A),IFERROR((SUMIFS('DATA INPUT'!$E$3:$E$3000,'DATA INPUT'!$A$3:$A$3000,"&gt;="&amp;DATE(2022,1,1),'DATA INPUT'!$A$3:$A$3000,"&lt;="&amp;DATE(2022,12,31),'DATA INPUT'!$B$3:$B$3000,$B22,'DATA INPUT'!$F$3:$F$3000,"&lt;&gt;*Exclude*")),#N/A))</f>
        <v>0</v>
      </c>
      <c r="I22" s="59">
        <f>IF($L$2="Yes",IFERROR((SUMIFS('DATA INPUT'!$E$3:$E$3000,'DATA INPUT'!$A$3:$A$3000,"&gt;="&amp;DATE(2023,1,1),'DATA INPUT'!$A$3:$A$3000,"&lt;="&amp;DATE(2023,12,31),'DATA INPUT'!$B$3:$B$3000,$B22)),#N/A),IFERROR((SUMIFS('DATA INPUT'!$E$3:$E$3000,'DATA INPUT'!$A$3:$A$3000,"&gt;="&amp;DATE(2023,1,1),'DATA INPUT'!$A$3:$A$3000,"&lt;="&amp;DATE(2023,12,31),'DATA INPUT'!$B$3:$B$3000,$B22,'DATA INPUT'!$F$3:$F$3000,"&lt;&gt;*Exclude*")),#N/A))</f>
        <v>0</v>
      </c>
      <c r="J22" s="59">
        <f>IF($L$2="Yes",IFERROR((SUMIFS('DATA INPUT'!$E$3:$E$3000,'DATA INPUT'!$A$3:$A$3000,"&gt;="&amp;DATE(2024,1,1),'DATA INPUT'!$A$3:$A$3000,"&lt;="&amp;DATE(2024,12,31),'DATA INPUT'!$B$3:$B$3000,$B22)),#N/A),IFERROR((SUMIFS('DATA INPUT'!$E$3:$E$3000,'DATA INPUT'!$A$3:$A$3000,"&gt;="&amp;DATE(2024,1,1),'DATA INPUT'!$A$3:$A$3000,"&lt;="&amp;DATE(2024,12,31),'DATA INPUT'!$B$3:$B$3000,$B22,'DATA INPUT'!$F$3:$F$3000,"&lt;&gt;*Exclude*")),#N/A))</f>
        <v>0</v>
      </c>
      <c r="K22" s="59">
        <f>IF($L$2="Yes",IFERROR((SUMIFS('DATA INPUT'!$E$3:$E$3000,'DATA INPUT'!$A$3:$A$3000,"&gt;="&amp;DATE(2025,1,1),'DATA INPUT'!$A$3:$A$3000,"&lt;="&amp;DATE(2025,12,31),'DATA INPUT'!$B$3:$B$3000,$B22)),#N/A),IFERROR((SUMIFS('DATA INPUT'!$E$3:$E$3000,'DATA INPUT'!$A$3:$A$3000,"&gt;="&amp;DATE(2025,1,1),'DATA INPUT'!$A$3:$A$3000,"&lt;="&amp;DATE(2025,12,31),'DATA INPUT'!$B$3:$B$3000,$B22,'DATA INPUT'!$F$3:$F$3000,"&lt;&gt;*Exclude*")),#N/A))</f>
        <v>0</v>
      </c>
      <c r="L22" s="103">
        <f t="shared" si="8"/>
        <v>0</v>
      </c>
      <c r="M22" s="105" t="str">
        <f t="shared" si="9"/>
        <v/>
      </c>
      <c r="Y22" s="149"/>
      <c r="Z22" s="149" t="s">
        <v>19</v>
      </c>
      <c r="AA22" s="136" t="e">
        <f>IF($L$2="Yes",IF(SUMIFS('DATA INPUT'!$E$3:$E$3000,'DATA INPUT'!$B$3:$B$3000,'Report Tables'!AA$1,'DATA INPUT'!$A$3:$A$3000,"&gt;="&amp;DATE(2018,8,1),'DATA INPUT'!$A$3:$A$3000,"&lt;"&amp;DATE(2018,8,31))=0,#N/A,(SUMIFS('DATA INPUT'!$E$3:$E$3000,'DATA INPUT'!$B$3:$B$3000,'Report Tables'!AA$1,'DATA INPUT'!$A$3:$A$3000,"&gt;="&amp;DATE(2018,8,1),'DATA INPUT'!$A$3:$A$3000,"&lt;"&amp;DATE(2018,8,31)))),IF(SUMIFS('DATA INPUT'!$E$3:$E$3000,'DATA INPUT'!$B$3:$B$3000,'Report Tables'!AA$1,'DATA INPUT'!$A$3:$A$3000,"&gt;="&amp;DATE(2018,8,1),'DATA INPUT'!$A$3:$A$3000,"&lt;"&amp;DATE(2018,8,31),'DATA INPUT'!$F$3:$F$3000,"&lt;&gt;*Exclude*")=0,#N/A,(SUMIFS('DATA INPUT'!$E$3:$E$3000,'DATA INPUT'!$B$3:$B$3000,'Report Tables'!AA$1,'DATA INPUT'!$A$3:$A$3000,"&gt;="&amp;DATE(2018,8,1),'DATA INPUT'!$A$3:$A$3000,"&lt;"&amp;DATE(2018,8,31),'DATA INPUT'!$F$3:$F$3000,"&lt;&gt;*Exclude*"))))</f>
        <v>#N/A</v>
      </c>
      <c r="AB22" s="136" t="e">
        <f>IF($L$2="Yes",IF(SUMIFS('DATA INPUT'!$E$3:$E$3000,'DATA INPUT'!$B$3:$B$3000,'Report Tables'!AB$1,'DATA INPUT'!$A$3:$A$3000,"&gt;="&amp;DATE(2018,8,1),'DATA INPUT'!$A$3:$A$3000,"&lt;"&amp;DATE(2018,8,31))=0,#N/A,(SUMIFS('DATA INPUT'!$E$3:$E$3000,'DATA INPUT'!$B$3:$B$3000,'Report Tables'!AB$1,'DATA INPUT'!$A$3:$A$3000,"&gt;="&amp;DATE(2018,8,1),'DATA INPUT'!$A$3:$A$3000,"&lt;"&amp;DATE(2018,8,31)))),IF(SUMIFS('DATA INPUT'!$E$3:$E$3000,'DATA INPUT'!$B$3:$B$3000,'Report Tables'!AB$1,'DATA INPUT'!$A$3:$A$3000,"&gt;="&amp;DATE(2018,8,1),'DATA INPUT'!$A$3:$A$3000,"&lt;"&amp;DATE(2018,8,31),'DATA INPUT'!$F$3:$F$3000,"&lt;&gt;*Exclude*")=0,#N/A,(SUMIFS('DATA INPUT'!$E$3:$E$3000,'DATA INPUT'!$B$3:$B$3000,'Report Tables'!AB$1,'DATA INPUT'!$A$3:$A$3000,"&gt;="&amp;DATE(2018,8,1),'DATA INPUT'!$A$3:$A$3000,"&lt;"&amp;DATE(2018,8,31),'DATA INPUT'!$F$3:$F$3000,"&lt;&gt;*Exclude*"))))</f>
        <v>#N/A</v>
      </c>
      <c r="AC22" s="136" t="e">
        <f>IF($L$2="Yes",IF(SUMIFS('DATA INPUT'!$E$3:$E$3000,'DATA INPUT'!$B$3:$B$3000,'Report Tables'!AC$1,'DATA INPUT'!$A$3:$A$3000,"&gt;="&amp;DATE(2018,8,1),'DATA INPUT'!$A$3:$A$3000,"&lt;"&amp;DATE(2018,8,31))=0,#N/A,(SUMIFS('DATA INPUT'!$E$3:$E$3000,'DATA INPUT'!$B$3:$B$3000,'Report Tables'!AC$1,'DATA INPUT'!$A$3:$A$3000,"&gt;="&amp;DATE(2018,8,1),'DATA INPUT'!$A$3:$A$3000,"&lt;"&amp;DATE(2018,8,31)))),IF(SUMIFS('DATA INPUT'!$E$3:$E$3000,'DATA INPUT'!$B$3:$B$3000,'Report Tables'!AC$1,'DATA INPUT'!$A$3:$A$3000,"&gt;="&amp;DATE(2018,8,1),'DATA INPUT'!$A$3:$A$3000,"&lt;"&amp;DATE(2018,8,31),'DATA INPUT'!$F$3:$F$3000,"&lt;&gt;*Exclude*")=0,#N/A,(SUMIFS('DATA INPUT'!$E$3:$E$3000,'DATA INPUT'!$B$3:$B$3000,'Report Tables'!AC$1,'DATA INPUT'!$A$3:$A$3000,"&gt;="&amp;DATE(2018,8,1),'DATA INPUT'!$A$3:$A$3000,"&lt;"&amp;DATE(2018,8,31),'DATA INPUT'!$F$3:$F$3000,"&lt;&gt;*Exclude*"))))</f>
        <v>#N/A</v>
      </c>
      <c r="AD22" s="136" t="e">
        <f>IF($L$2="Yes",IF(SUMIFS('DATA INPUT'!$E$3:$E$3000,'DATA INPUT'!$B$3:$B$3000,'Report Tables'!AD$1,'DATA INPUT'!$A$3:$A$3000,"&gt;="&amp;DATE(2018,8,1),'DATA INPUT'!$A$3:$A$3000,"&lt;"&amp;DATE(2018,8,31))=0,#N/A,(SUMIFS('DATA INPUT'!$E$3:$E$3000,'DATA INPUT'!$B$3:$B$3000,'Report Tables'!AD$1,'DATA INPUT'!$A$3:$A$3000,"&gt;="&amp;DATE(2018,8,1),'DATA INPUT'!$A$3:$A$3000,"&lt;"&amp;DATE(2018,8,31)))),IF(SUMIFS('DATA INPUT'!$E$3:$E$3000,'DATA INPUT'!$B$3:$B$3000,'Report Tables'!AD$1,'DATA INPUT'!$A$3:$A$3000,"&gt;="&amp;DATE(2018,8,1),'DATA INPUT'!$A$3:$A$3000,"&lt;"&amp;DATE(2018,8,31),'DATA INPUT'!$F$3:$F$3000,"&lt;&gt;*Exclude*")=0,#N/A,(SUMIFS('DATA INPUT'!$E$3:$E$3000,'DATA INPUT'!$B$3:$B$3000,'Report Tables'!AD$1,'DATA INPUT'!$A$3:$A$3000,"&gt;="&amp;DATE(2018,8,1),'DATA INPUT'!$A$3:$A$3000,"&lt;"&amp;DATE(2018,8,31),'DATA INPUT'!$F$3:$F$3000,"&lt;&gt;*Exclude*"))))</f>
        <v>#N/A</v>
      </c>
      <c r="AE22" s="136" t="e">
        <f>IF($L$2="Yes",IF(SUMIFS('DATA INPUT'!$E$3:$E$3000,'DATA INPUT'!$B$3:$B$3000,'Report Tables'!AE$1,'DATA INPUT'!$A$3:$A$3000,"&gt;="&amp;DATE(2018,8,1),'DATA INPUT'!$A$3:$A$3000,"&lt;"&amp;DATE(2018,8,31))=0,#N/A,(SUMIFS('DATA INPUT'!$E$3:$E$3000,'DATA INPUT'!$B$3:$B$3000,'Report Tables'!AE$1,'DATA INPUT'!$A$3:$A$3000,"&gt;="&amp;DATE(2018,8,1),'DATA INPUT'!$A$3:$A$3000,"&lt;"&amp;DATE(2018,8,31)))),IF(SUMIFS('DATA INPUT'!$E$3:$E$3000,'DATA INPUT'!$B$3:$B$3000,'Report Tables'!AE$1,'DATA INPUT'!$A$3:$A$3000,"&gt;="&amp;DATE(2018,8,1),'DATA INPUT'!$A$3:$A$3000,"&lt;"&amp;DATE(2018,8,31),'DATA INPUT'!$F$3:$F$3000,"&lt;&gt;*Exclude*")=0,#N/A,(SUMIFS('DATA INPUT'!$E$3:$E$3000,'DATA INPUT'!$B$3:$B$3000,'Report Tables'!AE$1,'DATA INPUT'!$A$3:$A$3000,"&gt;="&amp;DATE(2018,8,1),'DATA INPUT'!$A$3:$A$3000,"&lt;"&amp;DATE(2018,8,31),'DATA INPUT'!$F$3:$F$3000,"&lt;&gt;*Exclude*"))))</f>
        <v>#N/A</v>
      </c>
      <c r="AF22" s="136" t="e">
        <f>IF($L$2="Yes",IF(SUMIFS('DATA INPUT'!$E$3:$E$3000,'DATA INPUT'!$B$3:$B$3000,'Report Tables'!AF$1,'DATA INPUT'!$A$3:$A$3000,"&gt;="&amp;DATE(2018,8,1),'DATA INPUT'!$A$3:$A$3000,"&lt;"&amp;DATE(2018,8,31))=0,#N/A,(SUMIFS('DATA INPUT'!$E$3:$E$3000,'DATA INPUT'!$B$3:$B$3000,'Report Tables'!AF$1,'DATA INPUT'!$A$3:$A$3000,"&gt;="&amp;DATE(2018,8,1),'DATA INPUT'!$A$3:$A$3000,"&lt;"&amp;DATE(2018,8,31)))),IF(SUMIFS('DATA INPUT'!$E$3:$E$3000,'DATA INPUT'!$B$3:$B$3000,'Report Tables'!AF$1,'DATA INPUT'!$A$3:$A$3000,"&gt;="&amp;DATE(2018,8,1),'DATA INPUT'!$A$3:$A$3000,"&lt;"&amp;DATE(2018,8,31),'DATA INPUT'!$F$3:$F$3000,"&lt;&gt;*Exclude*")=0,#N/A,(SUMIFS('DATA INPUT'!$E$3:$E$3000,'DATA INPUT'!$B$3:$B$3000,'Report Tables'!AF$1,'DATA INPUT'!$A$3:$A$3000,"&gt;="&amp;DATE(2018,8,1),'DATA INPUT'!$A$3:$A$3000,"&lt;"&amp;DATE(2018,8,31),'DATA INPUT'!$F$3:$F$3000,"&lt;&gt;*Exclude*"))))</f>
        <v>#N/A</v>
      </c>
      <c r="AG22" s="136" t="e">
        <f>IF($L$2="Yes",IF(SUMIFS('DATA INPUT'!$E$3:$E$3000,'DATA INPUT'!$B$3:$B$3000,'Report Tables'!AG$1,'DATA INPUT'!$A$3:$A$3000,"&gt;="&amp;DATE(2018,8,1),'DATA INPUT'!$A$3:$A$3000,"&lt;"&amp;DATE(2018,8,31))=0,#N/A,(SUMIFS('DATA INPUT'!$E$3:$E$3000,'DATA INPUT'!$B$3:$B$3000,'Report Tables'!AG$1,'DATA INPUT'!$A$3:$A$3000,"&gt;="&amp;DATE(2018,8,1),'DATA INPUT'!$A$3:$A$3000,"&lt;"&amp;DATE(2018,8,31)))),IF(SUMIFS('DATA INPUT'!$E$3:$E$3000,'DATA INPUT'!$B$3:$B$3000,'Report Tables'!AG$1,'DATA INPUT'!$A$3:$A$3000,"&gt;="&amp;DATE(2018,8,1),'DATA INPUT'!$A$3:$A$3000,"&lt;"&amp;DATE(2018,8,31),'DATA INPUT'!$F$3:$F$3000,"&lt;&gt;*Exclude*")=0,#N/A,(SUMIFS('DATA INPUT'!$E$3:$E$3000,'DATA INPUT'!$B$3:$B$3000,'Report Tables'!AG$1,'DATA INPUT'!$A$3:$A$3000,"&gt;="&amp;DATE(2018,8,1),'DATA INPUT'!$A$3:$A$3000,"&lt;"&amp;DATE(2018,8,31),'DATA INPUT'!$F$3:$F$3000,"&lt;&gt;*Exclude*"))))</f>
        <v>#N/A</v>
      </c>
      <c r="AH22" s="136" t="e">
        <f>IF($L$2="Yes",IF(SUMIFS('DATA INPUT'!$E$3:$E$3000,'DATA INPUT'!$B$3:$B$3000,'Report Tables'!AH$1,'DATA INPUT'!$A$3:$A$3000,"&gt;="&amp;DATE(2018,8,1),'DATA INPUT'!$A$3:$A$3000,"&lt;"&amp;DATE(2018,8,31))=0,#N/A,(SUMIFS('DATA INPUT'!$E$3:$E$3000,'DATA INPUT'!$B$3:$B$3000,'Report Tables'!AH$1,'DATA INPUT'!$A$3:$A$3000,"&gt;="&amp;DATE(2018,8,1),'DATA INPUT'!$A$3:$A$3000,"&lt;"&amp;DATE(2018,8,31)))),IF(SUMIFS('DATA INPUT'!$E$3:$E$3000,'DATA INPUT'!$B$3:$B$3000,'Report Tables'!AH$1,'DATA INPUT'!$A$3:$A$3000,"&gt;="&amp;DATE(2018,8,1),'DATA INPUT'!$A$3:$A$3000,"&lt;"&amp;DATE(2018,8,31),'DATA INPUT'!$F$3:$F$3000,"&lt;&gt;*Exclude*")=0,#N/A,(SUMIFS('DATA INPUT'!$E$3:$E$3000,'DATA INPUT'!$B$3:$B$3000,'Report Tables'!AH$1,'DATA INPUT'!$A$3:$A$3000,"&gt;="&amp;DATE(2018,8,1),'DATA INPUT'!$A$3:$A$3000,"&lt;"&amp;DATE(2018,8,31),'DATA INPUT'!$F$3:$F$3000,"&lt;&gt;*Exclude*"))))</f>
        <v>#N/A</v>
      </c>
      <c r="AI22" s="136" t="e">
        <f t="shared" si="0"/>
        <v>#N/A</v>
      </c>
      <c r="AJ22" s="136" t="e">
        <f>IF($L$2="Yes",IF(SUMIFS('DATA INPUT'!$D$3:$D$3000,'DATA INPUT'!$A$3:$A$3000,"&gt;="&amp;DATE(2018,8,1),'DATA INPUT'!$A$3:$A$3000,"&lt;"&amp;DATE(2018,8,31),'DATA INPUT'!$G$3:$G$3000,"&lt;&gt;*School service*")=0,#N/A,(SUMIFS('DATA INPUT'!$D$3:$D$3000,'DATA INPUT'!$A$3:$A$3000,"&gt;="&amp;DATE(2018,8,1),'DATA INPUT'!$A$3:$A$3000,"&lt;"&amp;DATE(2018,8,31),'DATA INPUT'!$G$3:$G$3000,"&lt;&gt;*School service*"))),IF(SUMIFS('DATA INPUT'!$D$3:$D$3000,'DATA INPUT'!$A$3:$A$3000,"&gt;="&amp;DATE(2018,8,1),'DATA INPUT'!$A$3:$A$3000,"&lt;"&amp;DATE(2018,8,31),'DATA INPUT'!$F$3:$F$3000,"&lt;&gt;*Exclude*",'DATA INPUT'!$G$3:$G$3000,"&lt;&gt;*School service*")=0,#N/A,(SUMIFS('DATA INPUT'!$D$3:$D$3000,'DATA INPUT'!$A$3:$A$3000,"&gt;="&amp;DATE(2018,8,1),'DATA INPUT'!$A$3:$A$3000,"&lt;"&amp;DATE(2018,8,31),'DATA INPUT'!$F$3:$F$3000,"&lt;&gt;*Exclude*",'DATA INPUT'!$G$3:$G$3000,"&lt;&gt;*School service*"))))</f>
        <v>#N/A</v>
      </c>
      <c r="AK22" s="136" t="e">
        <f>AI22-AJ22</f>
        <v>#N/A</v>
      </c>
      <c r="AM22" s="117" t="e">
        <f>IF($L$2="Yes",IFERROR((SUMIFS('DATA INPUT'!$E$3:$E$3000,'DATA INPUT'!$B$3:$B$3000,'Report Tables'!AM$1,'DATA INPUT'!$A$3:$A$3000,"&gt;="&amp;DATE(2018,8,1),'DATA INPUT'!$A$3:$A$3000,"&lt;"&amp;DATE(2018,8,31)))/COUNTIFS('DATA INPUT'!$B$3:$B$3000,'Report Tables'!AM$1,'DATA INPUT'!$A$3:$A$3000,"&gt;="&amp;DATE(2018,8,1),'DATA INPUT'!$A$3:$A$3000,"&lt;"&amp;DATE(2018,8,31)),#N/A),IFERROR((SUMIFS('DATA INPUT'!$E$3:$E$3000,'DATA INPUT'!$B$3:$B$3000,'Report Tables'!AM$1,'DATA INPUT'!$A$3:$A$3000,"&gt;="&amp;DATE(2018,8,1),'DATA INPUT'!$A$3:$A$3000,"&lt;"&amp;DATE(2018,8,31),'DATA INPUT'!$F$3:$F$3000,"&lt;&gt;*Exclude*"))/(COUNTIFS('DATA INPUT'!$B$3:$B$3000,'Report Tables'!AM$1,'DATA INPUT'!$A$3:$A$3000,"&gt;="&amp;DATE(2018,8,1),'DATA INPUT'!$A$3:$A$3000,"&lt;"&amp;DATE(2018,8,31),'DATA INPUT'!$F$3:$F$3000,"&lt;&gt;*Exclude*")),#N/A))</f>
        <v>#N/A</v>
      </c>
      <c r="AN22" s="117" t="e">
        <f>IF($L$2="Yes",IFERROR((SUMIFS('DATA INPUT'!$E$3:$E$3000,'DATA INPUT'!$B$3:$B$3000,'Report Tables'!AN$1,'DATA INPUT'!$A$3:$A$3000,"&gt;="&amp;DATE(2018,8,1),'DATA INPUT'!$A$3:$A$3000,"&lt;"&amp;DATE(2018,8,31)))/COUNTIFS('DATA INPUT'!$B$3:$B$3000,'Report Tables'!AN$1,'DATA INPUT'!$A$3:$A$3000,"&gt;="&amp;DATE(2018,8,1),'DATA INPUT'!$A$3:$A$3000,"&lt;"&amp;DATE(2018,8,31)),#N/A),IFERROR((SUMIFS('DATA INPUT'!$E$3:$E$3000,'DATA INPUT'!$B$3:$B$3000,'Report Tables'!AN$1,'DATA INPUT'!$A$3:$A$3000,"&gt;="&amp;DATE(2018,8,1),'DATA INPUT'!$A$3:$A$3000,"&lt;"&amp;DATE(2018,8,31),'DATA INPUT'!$F$3:$F$3000,"&lt;&gt;*Exclude*"))/(COUNTIFS('DATA INPUT'!$B$3:$B$3000,'Report Tables'!AN$1,'DATA INPUT'!$A$3:$A$3000,"&gt;="&amp;DATE(2018,8,1),'DATA INPUT'!$A$3:$A$3000,"&lt;"&amp;DATE(2018,8,31),'DATA INPUT'!$F$3:$F$3000,"&lt;&gt;*Exclude*")),#N/A))</f>
        <v>#N/A</v>
      </c>
      <c r="AO22" s="117" t="e">
        <f>IF($L$2="Yes",IFERROR((SUMIFS('DATA INPUT'!$E$3:$E$3000,'DATA INPUT'!$B$3:$B$3000,'Report Tables'!AO$1,'DATA INPUT'!$A$3:$A$3000,"&gt;="&amp;DATE(2018,8,1),'DATA INPUT'!$A$3:$A$3000,"&lt;"&amp;DATE(2018,8,31)))/COUNTIFS('DATA INPUT'!$B$3:$B$3000,'Report Tables'!AO$1,'DATA INPUT'!$A$3:$A$3000,"&gt;="&amp;DATE(2018,8,1),'DATA INPUT'!$A$3:$A$3000,"&lt;"&amp;DATE(2018,8,31)),#N/A),IFERROR((SUMIFS('DATA INPUT'!$E$3:$E$3000,'DATA INPUT'!$B$3:$B$3000,'Report Tables'!AO$1,'DATA INPUT'!$A$3:$A$3000,"&gt;="&amp;DATE(2018,8,1),'DATA INPUT'!$A$3:$A$3000,"&lt;"&amp;DATE(2018,8,31),'DATA INPUT'!$F$3:$F$3000,"&lt;&gt;*Exclude*"))/(COUNTIFS('DATA INPUT'!$B$3:$B$3000,'Report Tables'!AO$1,'DATA INPUT'!$A$3:$A$3000,"&gt;="&amp;DATE(2018,8,1),'DATA INPUT'!$A$3:$A$3000,"&lt;"&amp;DATE(2018,8,31),'DATA INPUT'!$F$3:$F$3000,"&lt;&gt;*Exclude*")),#N/A))</f>
        <v>#N/A</v>
      </c>
      <c r="AP22" s="117" t="e">
        <f>IF($L$2="Yes",IFERROR((SUMIFS('DATA INPUT'!$E$3:$E$3000,'DATA INPUT'!$B$3:$B$3000,'Report Tables'!AP$1,'DATA INPUT'!$A$3:$A$3000,"&gt;="&amp;DATE(2018,8,1),'DATA INPUT'!$A$3:$A$3000,"&lt;"&amp;DATE(2018,8,31)))/COUNTIFS('DATA INPUT'!$B$3:$B$3000,'Report Tables'!AP$1,'DATA INPUT'!$A$3:$A$3000,"&gt;="&amp;DATE(2018,8,1),'DATA INPUT'!$A$3:$A$3000,"&lt;"&amp;DATE(2018,8,31)),#N/A),IFERROR((SUMIFS('DATA INPUT'!$E$3:$E$3000,'DATA INPUT'!$B$3:$B$3000,'Report Tables'!AP$1,'DATA INPUT'!$A$3:$A$3000,"&gt;="&amp;DATE(2018,8,1),'DATA INPUT'!$A$3:$A$3000,"&lt;"&amp;DATE(2018,8,31),'DATA INPUT'!$F$3:$F$3000,"&lt;&gt;*Exclude*"))/(COUNTIFS('DATA INPUT'!$B$3:$B$3000,'Report Tables'!AP$1,'DATA INPUT'!$A$3:$A$3000,"&gt;="&amp;DATE(2018,8,1),'DATA INPUT'!$A$3:$A$3000,"&lt;"&amp;DATE(2018,8,31),'DATA INPUT'!$F$3:$F$3000,"&lt;&gt;*Exclude*")),#N/A))</f>
        <v>#N/A</v>
      </c>
      <c r="AQ22" s="117" t="e">
        <f>IF($L$2="Yes",IFERROR((SUMIFS('DATA INPUT'!$E$3:$E$3000,'DATA INPUT'!$B$3:$B$3000,'Report Tables'!AQ$1,'DATA INPUT'!$A$3:$A$3000,"&gt;="&amp;DATE(2018,8,1),'DATA INPUT'!$A$3:$A$3000,"&lt;"&amp;DATE(2018,8,31)))/COUNTIFS('DATA INPUT'!$B$3:$B$3000,'Report Tables'!AQ$1,'DATA INPUT'!$A$3:$A$3000,"&gt;="&amp;DATE(2018,8,1),'DATA INPUT'!$A$3:$A$3000,"&lt;"&amp;DATE(2018,8,31)),#N/A),IFERROR((SUMIFS('DATA INPUT'!$E$3:$E$3000,'DATA INPUT'!$B$3:$B$3000,'Report Tables'!AQ$1,'DATA INPUT'!$A$3:$A$3000,"&gt;="&amp;DATE(2018,8,1),'DATA INPUT'!$A$3:$A$3000,"&lt;"&amp;DATE(2018,8,31),'DATA INPUT'!$F$3:$F$3000,"&lt;&gt;*Exclude*"))/(COUNTIFS('DATA INPUT'!$B$3:$B$3000,'Report Tables'!AQ$1,'DATA INPUT'!$A$3:$A$3000,"&gt;="&amp;DATE(2018,8,1),'DATA INPUT'!$A$3:$A$3000,"&lt;"&amp;DATE(2018,8,31),'DATA INPUT'!$F$3:$F$3000,"&lt;&gt;*Exclude*")),#N/A))</f>
        <v>#N/A</v>
      </c>
      <c r="AR22" s="117" t="e">
        <f>IF($L$2="Yes",IFERROR((SUMIFS('DATA INPUT'!$E$3:$E$3000,'DATA INPUT'!$B$3:$B$3000,'Report Tables'!AR$1,'DATA INPUT'!$A$3:$A$3000,"&gt;="&amp;DATE(2018,8,1),'DATA INPUT'!$A$3:$A$3000,"&lt;"&amp;DATE(2018,8,31)))/COUNTIFS('DATA INPUT'!$B$3:$B$3000,'Report Tables'!AR$1,'DATA INPUT'!$A$3:$A$3000,"&gt;="&amp;DATE(2018,8,1),'DATA INPUT'!$A$3:$A$3000,"&lt;"&amp;DATE(2018,8,31)),#N/A),IFERROR((SUMIFS('DATA INPUT'!$E$3:$E$3000,'DATA INPUT'!$B$3:$B$3000,'Report Tables'!AR$1,'DATA INPUT'!$A$3:$A$3000,"&gt;="&amp;DATE(2018,8,1),'DATA INPUT'!$A$3:$A$3000,"&lt;"&amp;DATE(2018,8,31),'DATA INPUT'!$F$3:$F$3000,"&lt;&gt;*Exclude*"))/(COUNTIFS('DATA INPUT'!$B$3:$B$3000,'Report Tables'!AR$1,'DATA INPUT'!$A$3:$A$3000,"&gt;="&amp;DATE(2018,8,1),'DATA INPUT'!$A$3:$A$3000,"&lt;"&amp;DATE(2018,8,31),'DATA INPUT'!$F$3:$F$3000,"&lt;&gt;*Exclude*")),#N/A))</f>
        <v>#N/A</v>
      </c>
      <c r="AS22" s="117" t="e">
        <f>IF($L$2="Yes",IFERROR((SUMIFS('DATA INPUT'!$E$3:$E$3000,'DATA INPUT'!$B$3:$B$3000,'Report Tables'!AS$1,'DATA INPUT'!$A$3:$A$3000,"&gt;="&amp;DATE(2018,8,1),'DATA INPUT'!$A$3:$A$3000,"&lt;"&amp;DATE(2018,8,31)))/COUNTIFS('DATA INPUT'!$B$3:$B$3000,'Report Tables'!AS$1,'DATA INPUT'!$A$3:$A$3000,"&gt;="&amp;DATE(2018,8,1),'DATA INPUT'!$A$3:$A$3000,"&lt;"&amp;DATE(2018,8,31)),#N/A),IFERROR((SUMIFS('DATA INPUT'!$E$3:$E$3000,'DATA INPUT'!$B$3:$B$3000,'Report Tables'!AS$1,'DATA INPUT'!$A$3:$A$3000,"&gt;="&amp;DATE(2018,8,1),'DATA INPUT'!$A$3:$A$3000,"&lt;"&amp;DATE(2018,8,31),'DATA INPUT'!$F$3:$F$3000,"&lt;&gt;*Exclude*"))/(COUNTIFS('DATA INPUT'!$B$3:$B$3000,'Report Tables'!AS$1,'DATA INPUT'!$A$3:$A$3000,"&gt;="&amp;DATE(2018,8,1),'DATA INPUT'!$A$3:$A$3000,"&lt;"&amp;DATE(2018,8,31),'DATA INPUT'!$F$3:$F$3000,"&lt;&gt;*Exclude*")),#N/A))</f>
        <v>#N/A</v>
      </c>
      <c r="AT22" s="117" t="e">
        <f>IF($L$2="Yes",IFERROR((SUMIFS('DATA INPUT'!$E$3:$E$3000,'DATA INPUT'!$B$3:$B$3000,'Report Tables'!AT$1,'DATA INPUT'!$A$3:$A$3000,"&gt;="&amp;DATE(2018,8,1),'DATA INPUT'!$A$3:$A$3000,"&lt;"&amp;DATE(2018,8,31)))/COUNTIFS('DATA INPUT'!$B$3:$B$3000,'Report Tables'!AT$1,'DATA INPUT'!$A$3:$A$3000,"&gt;="&amp;DATE(2018,8,1),'DATA INPUT'!$A$3:$A$3000,"&lt;"&amp;DATE(2018,8,31)),#N/A),IFERROR((SUMIFS('DATA INPUT'!$E$3:$E$3000,'DATA INPUT'!$B$3:$B$3000,'Report Tables'!AT$1,'DATA INPUT'!$A$3:$A$3000,"&gt;="&amp;DATE(2018,8,1),'DATA INPUT'!$A$3:$A$3000,"&lt;"&amp;DATE(2018,8,31),'DATA INPUT'!$F$3:$F$3000,"&lt;&gt;*Exclude*"))/(COUNTIFS('DATA INPUT'!$B$3:$B$3000,'Report Tables'!AT$1,'DATA INPUT'!$A$3:$A$3000,"&gt;="&amp;DATE(2018,8,1),'DATA INPUT'!$A$3:$A$3000,"&lt;"&amp;DATE(2018,8,31),'DATA INPUT'!$F$3:$F$3000,"&lt;&gt;*Exclude*")),#N/A))</f>
        <v>#N/A</v>
      </c>
      <c r="AU22" s="117" t="e">
        <f t="shared" si="1"/>
        <v>#N/A</v>
      </c>
      <c r="AV22" s="117" t="e">
        <f>IF($L$2="Yes",IFERROR((SUMIFS('DATA INPUT'!$D$3:$D$3000,'DATA INPUT'!$A$3:$A$3000,"&gt;="&amp;DATE(2018,8,1),'DATA INPUT'!$A$3:$A$3000,"&lt;"&amp;DATE(2018,8,31),'DATA INPUT'!$G$3:$G$3000,"&lt;&gt;*School service*"))/COUNTIFS('DATA INPUT'!$A$3:$A$3000,"&gt;="&amp;DATE(2018,8,1),'DATA INPUT'!$A$3:$A$3000,"&lt;"&amp;DATE(2018,8,31),'DATA INPUT'!$G$3:$G$3000,"&lt;&gt;*School service*",'DATA INPUT'!$D$3:$D$3000,"&lt;&gt;"&amp;""),#N/A),IFERROR((SUMIFS('DATA INPUT'!$D$3:$D$3000,'DATA INPUT'!$A$3:$A$3000,"&gt;="&amp;DATE(2018,8,1),'DATA INPUT'!$A$3:$A$3000,"&lt;"&amp;DATE(2018,8,31),'DATA INPUT'!$F$3:$F$3000,"&lt;&gt;*Exclude*",'DATA INPUT'!$G$3:$G$3000,"&lt;&gt;*School service*"))/(COUNTIFS('DATA INPUT'!$A$3:$A$3000,"&gt;="&amp;DATE(2018,8,1),'DATA INPUT'!$A$3:$A$3000,"&lt;"&amp;DATE(2018,8,31),'DATA INPUT'!$F$3:$F$3000,"&lt;&gt;*Exclude*",'DATA INPUT'!$G$3:$G$3000,"&lt;&gt;*School service*",'DATA INPUT'!$D$3:$D$3000,"&lt;&gt;"&amp;"")),#N/A))</f>
        <v>#N/A</v>
      </c>
      <c r="AW22" s="117" t="e">
        <f t="shared" si="2"/>
        <v>#N/A</v>
      </c>
      <c r="AX22" s="117" t="e">
        <f>IF($L$2="Yes",IFERROR((SUMIFS('DATA INPUT'!$E$3:$E$3000,'DATA INPUT'!$B$3:$B$3000,'Report Tables'!AX$1,'DATA INPUT'!$A$3:$A$3000,"&gt;="&amp;DATE(2018,8,1),'DATA INPUT'!$A$3:$A$3000,"&lt;"&amp;DATE(2018,8,31)))/COUNTIFS('DATA INPUT'!$B$3:$B$3000,'Report Tables'!AX$1,'DATA INPUT'!$A$3:$A$3000,"&gt;="&amp;DATE(2018,8,1),'DATA INPUT'!$A$3:$A$3000,"&lt;"&amp;DATE(2018,8,31)),#N/A),IFERROR((SUMIFS('DATA INPUT'!$E$3:$E$3000,'DATA INPUT'!$B$3:$B$3000,'Report Tables'!AX$1,'DATA INPUT'!$A$3:$A$3000,"&gt;="&amp;DATE(2018,8,1),'DATA INPUT'!$A$3:$A$3000,"&lt;"&amp;DATE(2018,8,31),'DATA INPUT'!$F$3:$F$3000,"&lt;&gt;*Exclude*"))/(COUNTIFS('DATA INPUT'!$B$3:$B$3000,'Report Tables'!AX$1,'DATA INPUT'!$A$3:$A$3000,"&gt;="&amp;DATE(2018,8,1),'DATA INPUT'!$A$3:$A$3000,"&lt;"&amp;DATE(2018,8,31),'DATA INPUT'!$F$3:$F$3000,"&lt;&gt;*Exclude*")),#N/A))</f>
        <v>#N/A</v>
      </c>
      <c r="AY22" s="117" t="e">
        <f>IF($L$2="Yes",IFERROR((SUMIFS('DATA INPUT'!$D$3:$D$3000,'DATA INPUT'!$B$3:$B$3000,'Report Tables'!AX$1,'DATA INPUT'!$A$3:$A$3000,"&gt;="&amp;DATE(2018,8,1),'DATA INPUT'!$A$3:$A$3000,"&lt;"&amp;DATE(2018,8,31)))/COUNTIFS('DATA INPUT'!$B$3:$B$3000,'Report Tables'!AX$1,'DATA INPUT'!$A$3:$A$3000,"&gt;="&amp;DATE(2018,8,1),'DATA INPUT'!$A$3:$A$3000,"&lt;"&amp;DATE(2018,8,31)),#N/A),IFERROR((SUMIFS('DATA INPUT'!$D$3:$D$3000,'DATA INPUT'!$B$3:$B$3000,'Report Tables'!AX$1,'DATA INPUT'!$A$3:$A$3000,"&gt;="&amp;DATE(2018,8,1),'DATA INPUT'!$A$3:$A$3000,"&lt;"&amp;DATE(2018,8,31),'DATA INPUT'!$F$3:$F$3000,"&lt;&gt;*Exclude*"))/(COUNTIFS('DATA INPUT'!$B$3:$B$3000,'Report Tables'!AX$1,'DATA INPUT'!$A$3:$A$3000,"&gt;="&amp;DATE(2018,8,1),'DATA INPUT'!$A$3:$A$3000,"&lt;"&amp;DATE(2018,8,31),'DATA INPUT'!$F$3:$F$3000,"&lt;&gt;*Exclude*")),#N/A))</f>
        <v>#N/A</v>
      </c>
      <c r="AZ22" s="117" t="e">
        <f>IF($L$2="Yes",IFERROR((SUMIFS('DATA INPUT'!$C$3:$C$3000,'DATA INPUT'!$B$3:$B$3000,'Report Tables'!AX$1,'DATA INPUT'!$A$3:$A$3000,"&gt;="&amp;DATE(2018,8,1),'DATA INPUT'!$A$3:$A$3000,"&lt;"&amp;DATE(2018,8,31)))/COUNTIFS('DATA INPUT'!$B$3:$B$3000,'Report Tables'!AX$1,'DATA INPUT'!$A$3:$A$3000,"&gt;="&amp;DATE(2018,8,1),'DATA INPUT'!$A$3:$A$3000,"&lt;"&amp;DATE(2018,8,31)),#N/A),IFERROR((SUMIFS('DATA INPUT'!$C$3:$C$3000,'DATA INPUT'!$B$3:$B$3000,'Report Tables'!AX$1,'DATA INPUT'!$A$3:$A$3000,"&gt;="&amp;DATE(2018,8,1),'DATA INPUT'!$A$3:$A$3000,"&lt;"&amp;DATE(2018,8,31),'DATA INPUT'!$F$3:$F$3000,"&lt;&gt;*Exclude*"))/(COUNTIFS('DATA INPUT'!$B$3:$B$3000,'Report Tables'!AX$1,'DATA INPUT'!$A$3:$A$3000,"&gt;="&amp;DATE(2018,8,1),'DATA INPUT'!$A$3:$A$3000,"&lt;"&amp;DATE(2018,8,31),'DATA INPUT'!$F$3:$F$3000,"&lt;&gt;*Exclude*")),#N/A))</f>
        <v>#N/A</v>
      </c>
    </row>
    <row r="23" spans="1:52" x14ac:dyDescent="0.3">
      <c r="A23" s="95" t="e">
        <f>VLOOKUP(B23,Information!$C$8:$F$15,4,FALSE)</f>
        <v>#N/A</v>
      </c>
      <c r="B23" s="52">
        <f>$B$11</f>
        <v>0</v>
      </c>
      <c r="C23" s="59">
        <f>IF($L$2="Yes",IFERROR((SUMIFS('DATA INPUT'!$E$3:$E$3000,'DATA INPUT'!$A$3:$A$3000,"&gt;="&amp;DATE(2017,1,1),'DATA INPUT'!$A$3:$A$3000,"&lt;="&amp;DATE(2017,12,31),'DATA INPUT'!$B$3:$B$3000,$B23)),#N/A),IFERROR((SUMIFS('DATA INPUT'!$E$3:$E$3000,'DATA INPUT'!$A$3:$A$3000,"&gt;="&amp;DATE(2017,1,1),'DATA INPUT'!$A$3:$A$3000,"&lt;="&amp;DATE(2017,12,31),'DATA INPUT'!$B$3:$B$3000,$B23,'DATA INPUT'!$F$3:$F$3000,"&lt;&gt;*Exclude*")),#N/A))</f>
        <v>0</v>
      </c>
      <c r="D23" s="59">
        <f>IF($L$2="Yes",IFERROR((SUMIFS('DATA INPUT'!$E$3:$E$3000,'DATA INPUT'!$A$3:$A$3000,"&gt;="&amp;DATE(2018,1,1),'DATA INPUT'!$A$3:$A$3000,"&lt;="&amp;DATE(2018,12,31),'DATA INPUT'!$B$3:$B$3000,$B23)),#N/A),IFERROR((SUMIFS('DATA INPUT'!$E$3:$E$3000,'DATA INPUT'!$A$3:$A$3000,"&gt;="&amp;DATE(2018,1,1),'DATA INPUT'!$A$3:$A$3000,"&lt;="&amp;DATE(2018,12,31),'DATA INPUT'!$B$3:$B$3000,$B23,'DATA INPUT'!$F$3:$F$3000,"&lt;&gt;*Exclude*")),#N/A))</f>
        <v>0</v>
      </c>
      <c r="E23" s="59">
        <f>IF($L$2="Yes",IFERROR((SUMIFS('DATA INPUT'!$E$3:$E$3000,'DATA INPUT'!$A$3:$A$3000,"&gt;="&amp;DATE(2019,1,1),'DATA INPUT'!$A$3:$A$3000,"&lt;="&amp;DATE(2019,12,31),'DATA INPUT'!$B$3:$B$3000,$B23)),#N/A),IFERROR((SUMIFS('DATA INPUT'!$E$3:$E$3000,'DATA INPUT'!$A$3:$A$3000,"&gt;="&amp;DATE(2019,1,1),'DATA INPUT'!$A$3:$A$3000,"&lt;="&amp;DATE(2019,12,31),'DATA INPUT'!$B$3:$B$3000,$B23,'DATA INPUT'!$F$3:$F$3000,"&lt;&gt;*Exclude*")),#N/A))</f>
        <v>0</v>
      </c>
      <c r="F23" s="59">
        <f>IF($L$2="Yes",IFERROR((SUMIFS('DATA INPUT'!$E$3:$E$3000,'DATA INPUT'!$A$3:$A$3000,"&gt;="&amp;DATE(2020,1,1),'DATA INPUT'!$A$3:$A$3000,"&lt;="&amp;DATE(2020,12,31),'DATA INPUT'!$B$3:$B$3000,$B23)),#N/A),IFERROR((SUMIFS('DATA INPUT'!$E$3:$E$3000,'DATA INPUT'!$A$3:$A$3000,"&gt;="&amp;DATE(2020,1,1),'DATA INPUT'!$A$3:$A$3000,"&lt;="&amp;DATE(2020,12,31),'DATA INPUT'!$B$3:$B$3000,$B23,'DATA INPUT'!$F$3:$F$3000,"&lt;&gt;*Exclude*")),#N/A))</f>
        <v>0</v>
      </c>
      <c r="G23" s="59">
        <f>IF($L$2="Yes",IFERROR((SUMIFS('DATA INPUT'!$E$3:$E$3000,'DATA INPUT'!$A$3:$A$3000,"&gt;="&amp;DATE(2021,1,1),'DATA INPUT'!$A$3:$A$3000,"&lt;="&amp;DATE(2021,12,31),'DATA INPUT'!$B$3:$B$3000,$B23)),#N/A),IFERROR((SUMIFS('DATA INPUT'!$E$3:$E$3000,'DATA INPUT'!$A$3:$A$3000,"&gt;="&amp;DATE(2021,1,1),'DATA INPUT'!$A$3:$A$3000,"&lt;="&amp;DATE(2021,12,31),'DATA INPUT'!$B$3:$B$3000,$B23,'DATA INPUT'!$F$3:$F$3000,"&lt;&gt;*Exclude*")),#N/A))</f>
        <v>0</v>
      </c>
      <c r="H23" s="59">
        <f>IF($L$2="Yes",IFERROR((SUMIFS('DATA INPUT'!$E$3:$E$3000,'DATA INPUT'!$A$3:$A$3000,"&gt;="&amp;DATE(2022,1,1),'DATA INPUT'!$A$3:$A$3000,"&lt;="&amp;DATE(2022,12,31),'DATA INPUT'!$B$3:$B$3000,$B23)),#N/A),IFERROR((SUMIFS('DATA INPUT'!$E$3:$E$3000,'DATA INPUT'!$A$3:$A$3000,"&gt;="&amp;DATE(2022,1,1),'DATA INPUT'!$A$3:$A$3000,"&lt;="&amp;DATE(2022,12,31),'DATA INPUT'!$B$3:$B$3000,$B23,'DATA INPUT'!$F$3:$F$3000,"&lt;&gt;*Exclude*")),#N/A))</f>
        <v>0</v>
      </c>
      <c r="I23" s="59">
        <f>IF($L$2="Yes",IFERROR((SUMIFS('DATA INPUT'!$E$3:$E$3000,'DATA INPUT'!$A$3:$A$3000,"&gt;="&amp;DATE(2023,1,1),'DATA INPUT'!$A$3:$A$3000,"&lt;="&amp;DATE(2023,12,31),'DATA INPUT'!$B$3:$B$3000,$B23)),#N/A),IFERROR((SUMIFS('DATA INPUT'!$E$3:$E$3000,'DATA INPUT'!$A$3:$A$3000,"&gt;="&amp;DATE(2023,1,1),'DATA INPUT'!$A$3:$A$3000,"&lt;="&amp;DATE(2023,12,31),'DATA INPUT'!$B$3:$B$3000,$B23,'DATA INPUT'!$F$3:$F$3000,"&lt;&gt;*Exclude*")),#N/A))</f>
        <v>0</v>
      </c>
      <c r="J23" s="59">
        <f>IF($L$2="Yes",IFERROR((SUMIFS('DATA INPUT'!$E$3:$E$3000,'DATA INPUT'!$A$3:$A$3000,"&gt;="&amp;DATE(2024,1,1),'DATA INPUT'!$A$3:$A$3000,"&lt;="&amp;DATE(2024,12,31),'DATA INPUT'!$B$3:$B$3000,$B23)),#N/A),IFERROR((SUMIFS('DATA INPUT'!$E$3:$E$3000,'DATA INPUT'!$A$3:$A$3000,"&gt;="&amp;DATE(2024,1,1),'DATA INPUT'!$A$3:$A$3000,"&lt;="&amp;DATE(2024,12,31),'DATA INPUT'!$B$3:$B$3000,$B23,'DATA INPUT'!$F$3:$F$3000,"&lt;&gt;*Exclude*")),#N/A))</f>
        <v>0</v>
      </c>
      <c r="K23" s="59">
        <f>IF($L$2="Yes",IFERROR((SUMIFS('DATA INPUT'!$E$3:$E$3000,'DATA INPUT'!$A$3:$A$3000,"&gt;="&amp;DATE(2025,1,1),'DATA INPUT'!$A$3:$A$3000,"&lt;="&amp;DATE(2025,12,31),'DATA INPUT'!$B$3:$B$3000,$B23)),#N/A),IFERROR((SUMIFS('DATA INPUT'!$E$3:$E$3000,'DATA INPUT'!$A$3:$A$3000,"&gt;="&amp;DATE(2025,1,1),'DATA INPUT'!$A$3:$A$3000,"&lt;="&amp;DATE(2025,12,31),'DATA INPUT'!$B$3:$B$3000,$B23,'DATA INPUT'!$F$3:$F$3000,"&lt;&gt;*Exclude*")),#N/A))</f>
        <v>0</v>
      </c>
      <c r="L23" s="103">
        <f t="shared" si="8"/>
        <v>0</v>
      </c>
      <c r="M23" s="105" t="str">
        <f t="shared" si="9"/>
        <v/>
      </c>
      <c r="Y23" s="149"/>
      <c r="Z23" s="149" t="s">
        <v>20</v>
      </c>
      <c r="AA23" s="136" t="e">
        <f>IF($L$2="Yes",IF(SUMIFS('DATA INPUT'!$E$3:$E$3000,'DATA INPUT'!$B$3:$B$3000,'Report Tables'!AA$1,'DATA INPUT'!$A$3:$A$3000,"&gt;="&amp;DATE(2018,9,1),'DATA INPUT'!$A$3:$A$3000,"&lt;"&amp;DATE(2018,9,31))=0,#N/A,(SUMIFS('DATA INPUT'!$E$3:$E$3000,'DATA INPUT'!$B$3:$B$3000,'Report Tables'!AA$1,'DATA INPUT'!$A$3:$A$3000,"&gt;="&amp;DATE(2018,9,1),'DATA INPUT'!$A$3:$A$3000,"&lt;"&amp;DATE(2018,9,31)))),IF(SUMIFS('DATA INPUT'!$E$3:$E$3000,'DATA INPUT'!$B$3:$B$3000,'Report Tables'!AA$1,'DATA INPUT'!$A$3:$A$3000,"&gt;="&amp;DATE(2018,9,1),'DATA INPUT'!$A$3:$A$3000,"&lt;"&amp;DATE(2018,9,31),'DATA INPUT'!$F$3:$F$3000,"&lt;&gt;*Exclude*")=0,#N/A,(SUMIFS('DATA INPUT'!$E$3:$E$3000,'DATA INPUT'!$B$3:$B$3000,'Report Tables'!AA$1,'DATA INPUT'!$A$3:$A$3000,"&gt;="&amp;DATE(2018,9,1),'DATA INPUT'!$A$3:$A$3000,"&lt;"&amp;DATE(2018,9,31),'DATA INPUT'!$F$3:$F$3000,"&lt;&gt;*Exclude*"))))</f>
        <v>#N/A</v>
      </c>
      <c r="AB23" s="136" t="e">
        <f>IF($L$2="Yes",IF(SUMIFS('DATA INPUT'!$E$3:$E$3000,'DATA INPUT'!$B$3:$B$3000,'Report Tables'!AB$1,'DATA INPUT'!$A$3:$A$3000,"&gt;="&amp;DATE(2018,9,1),'DATA INPUT'!$A$3:$A$3000,"&lt;"&amp;DATE(2018,9,31))=0,#N/A,(SUMIFS('DATA INPUT'!$E$3:$E$3000,'DATA INPUT'!$B$3:$B$3000,'Report Tables'!AB$1,'DATA INPUT'!$A$3:$A$3000,"&gt;="&amp;DATE(2018,9,1),'DATA INPUT'!$A$3:$A$3000,"&lt;"&amp;DATE(2018,9,31)))),IF(SUMIFS('DATA INPUT'!$E$3:$E$3000,'DATA INPUT'!$B$3:$B$3000,'Report Tables'!AB$1,'DATA INPUT'!$A$3:$A$3000,"&gt;="&amp;DATE(2018,9,1),'DATA INPUT'!$A$3:$A$3000,"&lt;"&amp;DATE(2018,9,31),'DATA INPUT'!$F$3:$F$3000,"&lt;&gt;*Exclude*")=0,#N/A,(SUMIFS('DATA INPUT'!$E$3:$E$3000,'DATA INPUT'!$B$3:$B$3000,'Report Tables'!AB$1,'DATA INPUT'!$A$3:$A$3000,"&gt;="&amp;DATE(2018,9,1),'DATA INPUT'!$A$3:$A$3000,"&lt;"&amp;DATE(2018,9,31),'DATA INPUT'!$F$3:$F$3000,"&lt;&gt;*Exclude*"))))</f>
        <v>#N/A</v>
      </c>
      <c r="AC23" s="136" t="e">
        <f>IF($L$2="Yes",IF(SUMIFS('DATA INPUT'!$E$3:$E$3000,'DATA INPUT'!$B$3:$B$3000,'Report Tables'!AC$1,'DATA INPUT'!$A$3:$A$3000,"&gt;="&amp;DATE(2018,9,1),'DATA INPUT'!$A$3:$A$3000,"&lt;"&amp;DATE(2018,9,31))=0,#N/A,(SUMIFS('DATA INPUT'!$E$3:$E$3000,'DATA INPUT'!$B$3:$B$3000,'Report Tables'!AC$1,'DATA INPUT'!$A$3:$A$3000,"&gt;="&amp;DATE(2018,9,1),'DATA INPUT'!$A$3:$A$3000,"&lt;"&amp;DATE(2018,9,31)))),IF(SUMIFS('DATA INPUT'!$E$3:$E$3000,'DATA INPUT'!$B$3:$B$3000,'Report Tables'!AC$1,'DATA INPUT'!$A$3:$A$3000,"&gt;="&amp;DATE(2018,9,1),'DATA INPUT'!$A$3:$A$3000,"&lt;"&amp;DATE(2018,9,31),'DATA INPUT'!$F$3:$F$3000,"&lt;&gt;*Exclude*")=0,#N/A,(SUMIFS('DATA INPUT'!$E$3:$E$3000,'DATA INPUT'!$B$3:$B$3000,'Report Tables'!AC$1,'DATA INPUT'!$A$3:$A$3000,"&gt;="&amp;DATE(2018,9,1),'DATA INPUT'!$A$3:$A$3000,"&lt;"&amp;DATE(2018,9,31),'DATA INPUT'!$F$3:$F$3000,"&lt;&gt;*Exclude*"))))</f>
        <v>#N/A</v>
      </c>
      <c r="AD23" s="136" t="e">
        <f>IF($L$2="Yes",IF(SUMIFS('DATA INPUT'!$E$3:$E$3000,'DATA INPUT'!$B$3:$B$3000,'Report Tables'!AD$1,'DATA INPUT'!$A$3:$A$3000,"&gt;="&amp;DATE(2018,9,1),'DATA INPUT'!$A$3:$A$3000,"&lt;"&amp;DATE(2018,9,31))=0,#N/A,(SUMIFS('DATA INPUT'!$E$3:$E$3000,'DATA INPUT'!$B$3:$B$3000,'Report Tables'!AD$1,'DATA INPUT'!$A$3:$A$3000,"&gt;="&amp;DATE(2018,9,1),'DATA INPUT'!$A$3:$A$3000,"&lt;"&amp;DATE(2018,9,31)))),IF(SUMIFS('DATA INPUT'!$E$3:$E$3000,'DATA INPUT'!$B$3:$B$3000,'Report Tables'!AD$1,'DATA INPUT'!$A$3:$A$3000,"&gt;="&amp;DATE(2018,9,1),'DATA INPUT'!$A$3:$A$3000,"&lt;"&amp;DATE(2018,9,31),'DATA INPUT'!$F$3:$F$3000,"&lt;&gt;*Exclude*")=0,#N/A,(SUMIFS('DATA INPUT'!$E$3:$E$3000,'DATA INPUT'!$B$3:$B$3000,'Report Tables'!AD$1,'DATA INPUT'!$A$3:$A$3000,"&gt;="&amp;DATE(2018,9,1),'DATA INPUT'!$A$3:$A$3000,"&lt;"&amp;DATE(2018,9,31),'DATA INPUT'!$F$3:$F$3000,"&lt;&gt;*Exclude*"))))</f>
        <v>#N/A</v>
      </c>
      <c r="AE23" s="136" t="e">
        <f>IF($L$2="Yes",IF(SUMIFS('DATA INPUT'!$E$3:$E$3000,'DATA INPUT'!$B$3:$B$3000,'Report Tables'!AE$1,'DATA INPUT'!$A$3:$A$3000,"&gt;="&amp;DATE(2018,9,1),'DATA INPUT'!$A$3:$A$3000,"&lt;"&amp;DATE(2018,9,31))=0,#N/A,(SUMIFS('DATA INPUT'!$E$3:$E$3000,'DATA INPUT'!$B$3:$B$3000,'Report Tables'!AE$1,'DATA INPUT'!$A$3:$A$3000,"&gt;="&amp;DATE(2018,9,1),'DATA INPUT'!$A$3:$A$3000,"&lt;"&amp;DATE(2018,9,31)))),IF(SUMIFS('DATA INPUT'!$E$3:$E$3000,'DATA INPUT'!$B$3:$B$3000,'Report Tables'!AE$1,'DATA INPUT'!$A$3:$A$3000,"&gt;="&amp;DATE(2018,9,1),'DATA INPUT'!$A$3:$A$3000,"&lt;"&amp;DATE(2018,9,31),'DATA INPUT'!$F$3:$F$3000,"&lt;&gt;*Exclude*")=0,#N/A,(SUMIFS('DATA INPUT'!$E$3:$E$3000,'DATA INPUT'!$B$3:$B$3000,'Report Tables'!AE$1,'DATA INPUT'!$A$3:$A$3000,"&gt;="&amp;DATE(2018,9,1),'DATA INPUT'!$A$3:$A$3000,"&lt;"&amp;DATE(2018,9,31),'DATA INPUT'!$F$3:$F$3000,"&lt;&gt;*Exclude*"))))</f>
        <v>#N/A</v>
      </c>
      <c r="AF23" s="136" t="e">
        <f>IF($L$2="Yes",IF(SUMIFS('DATA INPUT'!$E$3:$E$3000,'DATA INPUT'!$B$3:$B$3000,'Report Tables'!AF$1,'DATA INPUT'!$A$3:$A$3000,"&gt;="&amp;DATE(2018,9,1),'DATA INPUT'!$A$3:$A$3000,"&lt;"&amp;DATE(2018,9,31))=0,#N/A,(SUMIFS('DATA INPUT'!$E$3:$E$3000,'DATA INPUT'!$B$3:$B$3000,'Report Tables'!AF$1,'DATA INPUT'!$A$3:$A$3000,"&gt;="&amp;DATE(2018,9,1),'DATA INPUT'!$A$3:$A$3000,"&lt;"&amp;DATE(2018,9,31)))),IF(SUMIFS('DATA INPUT'!$E$3:$E$3000,'DATA INPUT'!$B$3:$B$3000,'Report Tables'!AF$1,'DATA INPUT'!$A$3:$A$3000,"&gt;="&amp;DATE(2018,9,1),'DATA INPUT'!$A$3:$A$3000,"&lt;"&amp;DATE(2018,9,31),'DATA INPUT'!$F$3:$F$3000,"&lt;&gt;*Exclude*")=0,#N/A,(SUMIFS('DATA INPUT'!$E$3:$E$3000,'DATA INPUT'!$B$3:$B$3000,'Report Tables'!AF$1,'DATA INPUT'!$A$3:$A$3000,"&gt;="&amp;DATE(2018,9,1),'DATA INPUT'!$A$3:$A$3000,"&lt;"&amp;DATE(2018,9,31),'DATA INPUT'!$F$3:$F$3000,"&lt;&gt;*Exclude*"))))</f>
        <v>#N/A</v>
      </c>
      <c r="AG23" s="136" t="e">
        <f>IF($L$2="Yes",IF(SUMIFS('DATA INPUT'!$E$3:$E$3000,'DATA INPUT'!$B$3:$B$3000,'Report Tables'!AG$1,'DATA INPUT'!$A$3:$A$3000,"&gt;="&amp;DATE(2018,9,1),'DATA INPUT'!$A$3:$A$3000,"&lt;"&amp;DATE(2018,9,31))=0,#N/A,(SUMIFS('DATA INPUT'!$E$3:$E$3000,'DATA INPUT'!$B$3:$B$3000,'Report Tables'!AG$1,'DATA INPUT'!$A$3:$A$3000,"&gt;="&amp;DATE(2018,9,1),'DATA INPUT'!$A$3:$A$3000,"&lt;"&amp;DATE(2018,9,31)))),IF(SUMIFS('DATA INPUT'!$E$3:$E$3000,'DATA INPUT'!$B$3:$B$3000,'Report Tables'!AG$1,'DATA INPUT'!$A$3:$A$3000,"&gt;="&amp;DATE(2018,9,1),'DATA INPUT'!$A$3:$A$3000,"&lt;"&amp;DATE(2018,9,31),'DATA INPUT'!$F$3:$F$3000,"&lt;&gt;*Exclude*")=0,#N/A,(SUMIFS('DATA INPUT'!$E$3:$E$3000,'DATA INPUT'!$B$3:$B$3000,'Report Tables'!AG$1,'DATA INPUT'!$A$3:$A$3000,"&gt;="&amp;DATE(2018,9,1),'DATA INPUT'!$A$3:$A$3000,"&lt;"&amp;DATE(2018,9,31),'DATA INPUT'!$F$3:$F$3000,"&lt;&gt;*Exclude*"))))</f>
        <v>#N/A</v>
      </c>
      <c r="AH23" s="136" t="e">
        <f>IF($L$2="Yes",IF(SUMIFS('DATA INPUT'!$E$3:$E$3000,'DATA INPUT'!$B$3:$B$3000,'Report Tables'!AH$1,'DATA INPUT'!$A$3:$A$3000,"&gt;="&amp;DATE(2018,9,1),'DATA INPUT'!$A$3:$A$3000,"&lt;"&amp;DATE(2018,9,31))=0,#N/A,(SUMIFS('DATA INPUT'!$E$3:$E$3000,'DATA INPUT'!$B$3:$B$3000,'Report Tables'!AH$1,'DATA INPUT'!$A$3:$A$3000,"&gt;="&amp;DATE(2018,9,1),'DATA INPUT'!$A$3:$A$3000,"&lt;"&amp;DATE(2018,9,31)))),IF(SUMIFS('DATA INPUT'!$E$3:$E$3000,'DATA INPUT'!$B$3:$B$3000,'Report Tables'!AH$1,'DATA INPUT'!$A$3:$A$3000,"&gt;="&amp;DATE(2018,9,1),'DATA INPUT'!$A$3:$A$3000,"&lt;"&amp;DATE(2018,9,31),'DATA INPUT'!$F$3:$F$3000,"&lt;&gt;*Exclude*")=0,#N/A,(SUMIFS('DATA INPUT'!$E$3:$E$3000,'DATA INPUT'!$B$3:$B$3000,'Report Tables'!AH$1,'DATA INPUT'!$A$3:$A$3000,"&gt;="&amp;DATE(2018,9,1),'DATA INPUT'!$A$3:$A$3000,"&lt;"&amp;DATE(2018,9,31),'DATA INPUT'!$F$3:$F$3000,"&lt;&gt;*Exclude*"))))</f>
        <v>#N/A</v>
      </c>
      <c r="AI23" s="136" t="e">
        <f t="shared" si="0"/>
        <v>#N/A</v>
      </c>
      <c r="AJ23" s="136" t="e">
        <f>IF($L$2="Yes",IF(SUMIFS('DATA INPUT'!$D$3:$D$3000,'DATA INPUT'!$A$3:$A$3000,"&gt;="&amp;DATE(2018,9,1),'DATA INPUT'!$A$3:$A$3000,"&lt;"&amp;DATE(2018,9,31),'DATA INPUT'!$G$3:$G$3000,"&lt;&gt;*School service*")=0,#N/A,(SUMIFS('DATA INPUT'!$D$3:$D$3000,'DATA INPUT'!$A$3:$A$3000,"&gt;="&amp;DATE(2018,9,1),'DATA INPUT'!$A$3:$A$3000,"&lt;"&amp;DATE(2018,9,31),'DATA INPUT'!$G$3:$G$3000,"&lt;&gt;*School service*"))),IF(SUMIFS('DATA INPUT'!$D$3:$D$3000,'DATA INPUT'!$A$3:$A$3000,"&gt;="&amp;DATE(2018,9,1),'DATA INPUT'!$A$3:$A$3000,"&lt;"&amp;DATE(2018,9,31),'DATA INPUT'!$F$3:$F$3000,"&lt;&gt;*Exclude*",'DATA INPUT'!$G$3:$G$3000,"&lt;&gt;*School service*")=0,#N/A,(SUMIFS('DATA INPUT'!$D$3:$D$3000,'DATA INPUT'!$A$3:$A$3000,"&gt;="&amp;DATE(2018,9,1),'DATA INPUT'!$A$3:$A$3000,"&lt;"&amp;DATE(2018,9,31),'DATA INPUT'!$F$3:$F$3000,"&lt;&gt;*Exclude*",'DATA INPUT'!$G$3:$G$3000,"&lt;&gt;*School service*"))))</f>
        <v>#N/A</v>
      </c>
      <c r="AK23" s="136" t="e">
        <f>AI23-AJ23</f>
        <v>#N/A</v>
      </c>
      <c r="AM23" s="117" t="e">
        <f>IF($L$2="Yes",IFERROR((SUMIFS('DATA INPUT'!$E$3:$E$3000,'DATA INPUT'!$B$3:$B$3000,'Report Tables'!AM$1,'DATA INPUT'!$A$3:$A$3000,"&gt;="&amp;DATE(2018,9,1),'DATA INPUT'!$A$3:$A$3000,"&lt;"&amp;DATE(2018,9,31)))/COUNTIFS('DATA INPUT'!$B$3:$B$3000,'Report Tables'!AM$1,'DATA INPUT'!$A$3:$A$3000,"&gt;="&amp;DATE(2018,9,1),'DATA INPUT'!$A$3:$A$3000,"&lt;"&amp;DATE(2018,9,31)),#N/A),IFERROR((SUMIFS('DATA INPUT'!$E$3:$E$3000,'DATA INPUT'!$B$3:$B$3000,'Report Tables'!AM$1,'DATA INPUT'!$A$3:$A$3000,"&gt;="&amp;DATE(2018,9,1),'DATA INPUT'!$A$3:$A$3000,"&lt;"&amp;DATE(2018,9,31),'DATA INPUT'!$F$3:$F$3000,"&lt;&gt;*Exclude*"))/(COUNTIFS('DATA INPUT'!$B$3:$B$3000,'Report Tables'!AM$1,'DATA INPUT'!$A$3:$A$3000,"&gt;="&amp;DATE(2018,9,1),'DATA INPUT'!$A$3:$A$3000,"&lt;"&amp;DATE(2018,9,31),'DATA INPUT'!$F$3:$F$3000,"&lt;&gt;*Exclude*")),#N/A))</f>
        <v>#N/A</v>
      </c>
      <c r="AN23" s="117" t="e">
        <f>IF($L$2="Yes",IFERROR((SUMIFS('DATA INPUT'!$E$3:$E$3000,'DATA INPUT'!$B$3:$B$3000,'Report Tables'!AN$1,'DATA INPUT'!$A$3:$A$3000,"&gt;="&amp;DATE(2018,9,1),'DATA INPUT'!$A$3:$A$3000,"&lt;"&amp;DATE(2018,9,31)))/COUNTIFS('DATA INPUT'!$B$3:$B$3000,'Report Tables'!AN$1,'DATA INPUT'!$A$3:$A$3000,"&gt;="&amp;DATE(2018,9,1),'DATA INPUT'!$A$3:$A$3000,"&lt;"&amp;DATE(2018,9,31)),#N/A),IFERROR((SUMIFS('DATA INPUT'!$E$3:$E$3000,'DATA INPUT'!$B$3:$B$3000,'Report Tables'!AN$1,'DATA INPUT'!$A$3:$A$3000,"&gt;="&amp;DATE(2018,9,1),'DATA INPUT'!$A$3:$A$3000,"&lt;"&amp;DATE(2018,9,31),'DATA INPUT'!$F$3:$F$3000,"&lt;&gt;*Exclude*"))/(COUNTIFS('DATA INPUT'!$B$3:$B$3000,'Report Tables'!AN$1,'DATA INPUT'!$A$3:$A$3000,"&gt;="&amp;DATE(2018,9,1),'DATA INPUT'!$A$3:$A$3000,"&lt;"&amp;DATE(2018,9,31),'DATA INPUT'!$F$3:$F$3000,"&lt;&gt;*Exclude*")),#N/A))</f>
        <v>#N/A</v>
      </c>
      <c r="AO23" s="117" t="e">
        <f>IF($L$2="Yes",IFERROR((SUMIFS('DATA INPUT'!$E$3:$E$3000,'DATA INPUT'!$B$3:$B$3000,'Report Tables'!AO$1,'DATA INPUT'!$A$3:$A$3000,"&gt;="&amp;DATE(2018,9,1),'DATA INPUT'!$A$3:$A$3000,"&lt;"&amp;DATE(2018,9,31)))/COUNTIFS('DATA INPUT'!$B$3:$B$3000,'Report Tables'!AO$1,'DATA INPUT'!$A$3:$A$3000,"&gt;="&amp;DATE(2018,9,1),'DATA INPUT'!$A$3:$A$3000,"&lt;"&amp;DATE(2018,9,31)),#N/A),IFERROR((SUMIFS('DATA INPUT'!$E$3:$E$3000,'DATA INPUT'!$B$3:$B$3000,'Report Tables'!AO$1,'DATA INPUT'!$A$3:$A$3000,"&gt;="&amp;DATE(2018,9,1),'DATA INPUT'!$A$3:$A$3000,"&lt;"&amp;DATE(2018,9,31),'DATA INPUT'!$F$3:$F$3000,"&lt;&gt;*Exclude*"))/(COUNTIFS('DATA INPUT'!$B$3:$B$3000,'Report Tables'!AO$1,'DATA INPUT'!$A$3:$A$3000,"&gt;="&amp;DATE(2018,9,1),'DATA INPUT'!$A$3:$A$3000,"&lt;"&amp;DATE(2018,9,31),'DATA INPUT'!$F$3:$F$3000,"&lt;&gt;*Exclude*")),#N/A))</f>
        <v>#N/A</v>
      </c>
      <c r="AP23" s="117" t="e">
        <f>IF($L$2="Yes",IFERROR((SUMIFS('DATA INPUT'!$E$3:$E$3000,'DATA INPUT'!$B$3:$B$3000,'Report Tables'!AP$1,'DATA INPUT'!$A$3:$A$3000,"&gt;="&amp;DATE(2018,9,1),'DATA INPUT'!$A$3:$A$3000,"&lt;"&amp;DATE(2018,9,31)))/COUNTIFS('DATA INPUT'!$B$3:$B$3000,'Report Tables'!AP$1,'DATA INPUT'!$A$3:$A$3000,"&gt;="&amp;DATE(2018,9,1),'DATA INPUT'!$A$3:$A$3000,"&lt;"&amp;DATE(2018,9,31)),#N/A),IFERROR((SUMIFS('DATA INPUT'!$E$3:$E$3000,'DATA INPUT'!$B$3:$B$3000,'Report Tables'!AP$1,'DATA INPUT'!$A$3:$A$3000,"&gt;="&amp;DATE(2018,9,1),'DATA INPUT'!$A$3:$A$3000,"&lt;"&amp;DATE(2018,9,31),'DATA INPUT'!$F$3:$F$3000,"&lt;&gt;*Exclude*"))/(COUNTIFS('DATA INPUT'!$B$3:$B$3000,'Report Tables'!AP$1,'DATA INPUT'!$A$3:$A$3000,"&gt;="&amp;DATE(2018,9,1),'DATA INPUT'!$A$3:$A$3000,"&lt;"&amp;DATE(2018,9,31),'DATA INPUT'!$F$3:$F$3000,"&lt;&gt;*Exclude*")),#N/A))</f>
        <v>#N/A</v>
      </c>
      <c r="AQ23" s="117" t="e">
        <f>IF($L$2="Yes",IFERROR((SUMIFS('DATA INPUT'!$E$3:$E$3000,'DATA INPUT'!$B$3:$B$3000,'Report Tables'!AQ$1,'DATA INPUT'!$A$3:$A$3000,"&gt;="&amp;DATE(2018,9,1),'DATA INPUT'!$A$3:$A$3000,"&lt;"&amp;DATE(2018,9,31)))/COUNTIFS('DATA INPUT'!$B$3:$B$3000,'Report Tables'!AQ$1,'DATA INPUT'!$A$3:$A$3000,"&gt;="&amp;DATE(2018,9,1),'DATA INPUT'!$A$3:$A$3000,"&lt;"&amp;DATE(2018,9,31)),#N/A),IFERROR((SUMIFS('DATA INPUT'!$E$3:$E$3000,'DATA INPUT'!$B$3:$B$3000,'Report Tables'!AQ$1,'DATA INPUT'!$A$3:$A$3000,"&gt;="&amp;DATE(2018,9,1),'DATA INPUT'!$A$3:$A$3000,"&lt;"&amp;DATE(2018,9,31),'DATA INPUT'!$F$3:$F$3000,"&lt;&gt;*Exclude*"))/(COUNTIFS('DATA INPUT'!$B$3:$B$3000,'Report Tables'!AQ$1,'DATA INPUT'!$A$3:$A$3000,"&gt;="&amp;DATE(2018,9,1),'DATA INPUT'!$A$3:$A$3000,"&lt;"&amp;DATE(2018,9,31),'DATA INPUT'!$F$3:$F$3000,"&lt;&gt;*Exclude*")),#N/A))</f>
        <v>#N/A</v>
      </c>
      <c r="AR23" s="117" t="e">
        <f>IF($L$2="Yes",IFERROR((SUMIFS('DATA INPUT'!$E$3:$E$3000,'DATA INPUT'!$B$3:$B$3000,'Report Tables'!AR$1,'DATA INPUT'!$A$3:$A$3000,"&gt;="&amp;DATE(2018,9,1),'DATA INPUT'!$A$3:$A$3000,"&lt;"&amp;DATE(2018,9,31)))/COUNTIFS('DATA INPUT'!$B$3:$B$3000,'Report Tables'!AR$1,'DATA INPUT'!$A$3:$A$3000,"&gt;="&amp;DATE(2018,9,1),'DATA INPUT'!$A$3:$A$3000,"&lt;"&amp;DATE(2018,9,31)),#N/A),IFERROR((SUMIFS('DATA INPUT'!$E$3:$E$3000,'DATA INPUT'!$B$3:$B$3000,'Report Tables'!AR$1,'DATA INPUT'!$A$3:$A$3000,"&gt;="&amp;DATE(2018,9,1),'DATA INPUT'!$A$3:$A$3000,"&lt;"&amp;DATE(2018,9,31),'DATA INPUT'!$F$3:$F$3000,"&lt;&gt;*Exclude*"))/(COUNTIFS('DATA INPUT'!$B$3:$B$3000,'Report Tables'!AR$1,'DATA INPUT'!$A$3:$A$3000,"&gt;="&amp;DATE(2018,9,1),'DATA INPUT'!$A$3:$A$3000,"&lt;"&amp;DATE(2018,9,31),'DATA INPUT'!$F$3:$F$3000,"&lt;&gt;*Exclude*")),#N/A))</f>
        <v>#N/A</v>
      </c>
      <c r="AS23" s="117" t="e">
        <f>IF($L$2="Yes",IFERROR((SUMIFS('DATA INPUT'!$E$3:$E$3000,'DATA INPUT'!$B$3:$B$3000,'Report Tables'!AS$1,'DATA INPUT'!$A$3:$A$3000,"&gt;="&amp;DATE(2018,9,1),'DATA INPUT'!$A$3:$A$3000,"&lt;"&amp;DATE(2018,9,31)))/COUNTIFS('DATA INPUT'!$B$3:$B$3000,'Report Tables'!AS$1,'DATA INPUT'!$A$3:$A$3000,"&gt;="&amp;DATE(2018,9,1),'DATA INPUT'!$A$3:$A$3000,"&lt;"&amp;DATE(2018,9,31)),#N/A),IFERROR((SUMIFS('DATA INPUT'!$E$3:$E$3000,'DATA INPUT'!$B$3:$B$3000,'Report Tables'!AS$1,'DATA INPUT'!$A$3:$A$3000,"&gt;="&amp;DATE(2018,9,1),'DATA INPUT'!$A$3:$A$3000,"&lt;"&amp;DATE(2018,9,31),'DATA INPUT'!$F$3:$F$3000,"&lt;&gt;*Exclude*"))/(COUNTIFS('DATA INPUT'!$B$3:$B$3000,'Report Tables'!AS$1,'DATA INPUT'!$A$3:$A$3000,"&gt;="&amp;DATE(2018,9,1),'DATA INPUT'!$A$3:$A$3000,"&lt;"&amp;DATE(2018,9,31),'DATA INPUT'!$F$3:$F$3000,"&lt;&gt;*Exclude*")),#N/A))</f>
        <v>#N/A</v>
      </c>
      <c r="AT23" s="117" t="e">
        <f>IF($L$2="Yes",IFERROR((SUMIFS('DATA INPUT'!$E$3:$E$3000,'DATA INPUT'!$B$3:$B$3000,'Report Tables'!AT$1,'DATA INPUT'!$A$3:$A$3000,"&gt;="&amp;DATE(2018,9,1),'DATA INPUT'!$A$3:$A$3000,"&lt;"&amp;DATE(2018,9,31)))/COUNTIFS('DATA INPUT'!$B$3:$B$3000,'Report Tables'!AT$1,'DATA INPUT'!$A$3:$A$3000,"&gt;="&amp;DATE(2018,9,1),'DATA INPUT'!$A$3:$A$3000,"&lt;"&amp;DATE(2018,9,31)),#N/A),IFERROR((SUMIFS('DATA INPUT'!$E$3:$E$3000,'DATA INPUT'!$B$3:$B$3000,'Report Tables'!AT$1,'DATA INPUT'!$A$3:$A$3000,"&gt;="&amp;DATE(2018,9,1),'DATA INPUT'!$A$3:$A$3000,"&lt;"&amp;DATE(2018,9,31),'DATA INPUT'!$F$3:$F$3000,"&lt;&gt;*Exclude*"))/(COUNTIFS('DATA INPUT'!$B$3:$B$3000,'Report Tables'!AT$1,'DATA INPUT'!$A$3:$A$3000,"&gt;="&amp;DATE(2018,9,1),'DATA INPUT'!$A$3:$A$3000,"&lt;"&amp;DATE(2018,9,31),'DATA INPUT'!$F$3:$F$3000,"&lt;&gt;*Exclude*")),#N/A))</f>
        <v>#N/A</v>
      </c>
      <c r="AU23" s="117" t="e">
        <f t="shared" si="1"/>
        <v>#N/A</v>
      </c>
      <c r="AV23" s="117" t="e">
        <f>IF($L$2="Yes",IFERROR((SUMIFS('DATA INPUT'!$D$3:$D$3000,'DATA INPUT'!$A$3:$A$3000,"&gt;="&amp;DATE(2018,9,1),'DATA INPUT'!$A$3:$A$3000,"&lt;"&amp;DATE(2018,9,31),'DATA INPUT'!$G$3:$G$3000,"&lt;&gt;*School service*"))/COUNTIFS('DATA INPUT'!$A$3:$A$3000,"&gt;="&amp;DATE(2018,9,1),'DATA INPUT'!$A$3:$A$3000,"&lt;"&amp;DATE(2018,9,31),'DATA INPUT'!$G$3:$G$3000,"&lt;&gt;*School service*",'DATA INPUT'!$D$3:$D$3000,"&lt;&gt;"&amp;""),#N/A),IFERROR((SUMIFS('DATA INPUT'!$D$3:$D$3000,'DATA INPUT'!$A$3:$A$3000,"&gt;="&amp;DATE(2018,9,1),'DATA INPUT'!$A$3:$A$3000,"&lt;"&amp;DATE(2018,9,31),'DATA INPUT'!$F$3:$F$3000,"&lt;&gt;*Exclude*",'DATA INPUT'!$G$3:$G$3000,"&lt;&gt;*School service*"))/(COUNTIFS('DATA INPUT'!$A$3:$A$3000,"&gt;="&amp;DATE(2018,9,1),'DATA INPUT'!$A$3:$A$3000,"&lt;"&amp;DATE(2018,9,31),'DATA INPUT'!$F$3:$F$3000,"&lt;&gt;*Exclude*",'DATA INPUT'!$G$3:$G$3000,"&lt;&gt;*School service*",'DATA INPUT'!$D$3:$D$3000,"&lt;&gt;"&amp;"")),#N/A))</f>
        <v>#N/A</v>
      </c>
      <c r="AW23" s="117" t="e">
        <f t="shared" si="2"/>
        <v>#N/A</v>
      </c>
      <c r="AX23" s="117" t="e">
        <f>IF($L$2="Yes",IFERROR((SUMIFS('DATA INPUT'!$E$3:$E$3000,'DATA INPUT'!$B$3:$B$3000,'Report Tables'!AX$1,'DATA INPUT'!$A$3:$A$3000,"&gt;="&amp;DATE(2018,9,1),'DATA INPUT'!$A$3:$A$3000,"&lt;"&amp;DATE(2018,9,31)))/COUNTIFS('DATA INPUT'!$B$3:$B$3000,'Report Tables'!AX$1,'DATA INPUT'!$A$3:$A$3000,"&gt;="&amp;DATE(2018,9,1),'DATA INPUT'!$A$3:$A$3000,"&lt;"&amp;DATE(2018,9,31)),#N/A),IFERROR((SUMIFS('DATA INPUT'!$E$3:$E$3000,'DATA INPUT'!$B$3:$B$3000,'Report Tables'!AX$1,'DATA INPUT'!$A$3:$A$3000,"&gt;="&amp;DATE(2018,9,1),'DATA INPUT'!$A$3:$A$3000,"&lt;"&amp;DATE(2018,9,31),'DATA INPUT'!$F$3:$F$3000,"&lt;&gt;*Exclude*"))/(COUNTIFS('DATA INPUT'!$B$3:$B$3000,'Report Tables'!AX$1,'DATA INPUT'!$A$3:$A$3000,"&gt;="&amp;DATE(2018,9,1),'DATA INPUT'!$A$3:$A$3000,"&lt;"&amp;DATE(2018,9,31),'DATA INPUT'!$F$3:$F$3000,"&lt;&gt;*Exclude*")),#N/A))</f>
        <v>#N/A</v>
      </c>
      <c r="AY23" s="117" t="e">
        <f>IF($L$2="Yes",IFERROR((SUMIFS('DATA INPUT'!$D$3:$D$3000,'DATA INPUT'!$B$3:$B$3000,'Report Tables'!AX$1,'DATA INPUT'!$A$3:$A$3000,"&gt;="&amp;DATE(2018,9,1),'DATA INPUT'!$A$3:$A$3000,"&lt;"&amp;DATE(2018,9,31)))/COUNTIFS('DATA INPUT'!$B$3:$B$3000,'Report Tables'!AX$1,'DATA INPUT'!$A$3:$A$3000,"&gt;="&amp;DATE(2018,9,1),'DATA INPUT'!$A$3:$A$3000,"&lt;"&amp;DATE(2018,9,31)),#N/A),IFERROR((SUMIFS('DATA INPUT'!$D$3:$D$3000,'DATA INPUT'!$B$3:$B$3000,'Report Tables'!AX$1,'DATA INPUT'!$A$3:$A$3000,"&gt;="&amp;DATE(2018,9,1),'DATA INPUT'!$A$3:$A$3000,"&lt;"&amp;DATE(2018,9,31),'DATA INPUT'!$F$3:$F$3000,"&lt;&gt;*Exclude*"))/(COUNTIFS('DATA INPUT'!$B$3:$B$3000,'Report Tables'!AX$1,'DATA INPUT'!$A$3:$A$3000,"&gt;="&amp;DATE(2018,9,1),'DATA INPUT'!$A$3:$A$3000,"&lt;"&amp;DATE(2018,9,31),'DATA INPUT'!$F$3:$F$3000,"&lt;&gt;*Exclude*")),#N/A))</f>
        <v>#N/A</v>
      </c>
      <c r="AZ23" s="117" t="e">
        <f>IF($L$2="Yes",IFERROR((SUMIFS('DATA INPUT'!$C$3:$C$3000,'DATA INPUT'!$B$3:$B$3000,'Report Tables'!AX$1,'DATA INPUT'!$A$3:$A$3000,"&gt;="&amp;DATE(2018,9,1),'DATA INPUT'!$A$3:$A$3000,"&lt;"&amp;DATE(2018,9,31)))/COUNTIFS('DATA INPUT'!$B$3:$B$3000,'Report Tables'!AX$1,'DATA INPUT'!$A$3:$A$3000,"&gt;="&amp;DATE(2018,9,1),'DATA INPUT'!$A$3:$A$3000,"&lt;"&amp;DATE(2018,9,31)),#N/A),IFERROR((SUMIFS('DATA INPUT'!$C$3:$C$3000,'DATA INPUT'!$B$3:$B$3000,'Report Tables'!AX$1,'DATA INPUT'!$A$3:$A$3000,"&gt;="&amp;DATE(2018,9,1),'DATA INPUT'!$A$3:$A$3000,"&lt;"&amp;DATE(2018,9,31),'DATA INPUT'!$F$3:$F$3000,"&lt;&gt;*Exclude*"))/(COUNTIFS('DATA INPUT'!$B$3:$B$3000,'Report Tables'!AX$1,'DATA INPUT'!$A$3:$A$3000,"&gt;="&amp;DATE(2018,9,1),'DATA INPUT'!$A$3:$A$3000,"&lt;"&amp;DATE(2018,9,31),'DATA INPUT'!$F$3:$F$3000,"&lt;&gt;*Exclude*")),#N/A))</f>
        <v>#N/A</v>
      </c>
    </row>
    <row r="24" spans="1:52" ht="15" thickBot="1" x14ac:dyDescent="0.35">
      <c r="A24" s="95" t="e">
        <f>VLOOKUP(B24,Information!$C$8:$F$15,4,FALSE)</f>
        <v>#N/A</v>
      </c>
      <c r="B24" s="52">
        <f>$B$12</f>
        <v>0</v>
      </c>
      <c r="C24" s="59">
        <f>IF($L$2="Yes",IFERROR((SUMIFS('DATA INPUT'!$E$3:$E$3000,'DATA INPUT'!$A$3:$A$3000,"&gt;="&amp;DATE(2017,1,1),'DATA INPUT'!$A$3:$A$3000,"&lt;="&amp;DATE(2017,12,31),'DATA INPUT'!$B$3:$B$3000,$B24)),#N/A),IFERROR((SUMIFS('DATA INPUT'!$E$3:$E$3000,'DATA INPUT'!$A$3:$A$3000,"&gt;="&amp;DATE(2017,1,1),'DATA INPUT'!$A$3:$A$3000,"&lt;="&amp;DATE(2017,12,31),'DATA INPUT'!$B$3:$B$3000,$B24,'DATA INPUT'!$F$3:$F$3000,"&lt;&gt;*Exclude*")),#N/A))</f>
        <v>0</v>
      </c>
      <c r="D24" s="59">
        <f>IF($L$2="Yes",IFERROR((SUMIFS('DATA INPUT'!$E$3:$E$3000,'DATA INPUT'!$A$3:$A$3000,"&gt;="&amp;DATE(2018,1,1),'DATA INPUT'!$A$3:$A$3000,"&lt;="&amp;DATE(2018,12,31),'DATA INPUT'!$B$3:$B$3000,$B24)),#N/A),IFERROR((SUMIFS('DATA INPUT'!$E$3:$E$3000,'DATA INPUT'!$A$3:$A$3000,"&gt;="&amp;DATE(2018,1,1),'DATA INPUT'!$A$3:$A$3000,"&lt;="&amp;DATE(2018,12,31),'DATA INPUT'!$B$3:$B$3000,$B24,'DATA INPUT'!$F$3:$F$3000,"&lt;&gt;*Exclude*")),#N/A))</f>
        <v>0</v>
      </c>
      <c r="E24" s="59">
        <f>IF($L$2="Yes",IFERROR((SUMIFS('DATA INPUT'!$E$3:$E$3000,'DATA INPUT'!$A$3:$A$3000,"&gt;="&amp;DATE(2019,1,1),'DATA INPUT'!$A$3:$A$3000,"&lt;="&amp;DATE(2019,12,31),'DATA INPUT'!$B$3:$B$3000,$B24)),#N/A),IFERROR((SUMIFS('DATA INPUT'!$E$3:$E$3000,'DATA INPUT'!$A$3:$A$3000,"&gt;="&amp;DATE(2019,1,1),'DATA INPUT'!$A$3:$A$3000,"&lt;="&amp;DATE(2019,12,31),'DATA INPUT'!$B$3:$B$3000,$B24,'DATA INPUT'!$F$3:$F$3000,"&lt;&gt;*Exclude*")),#N/A))</f>
        <v>0</v>
      </c>
      <c r="F24" s="59">
        <f>IF($L$2="Yes",IFERROR((SUMIFS('DATA INPUT'!$E$3:$E$3000,'DATA INPUT'!$A$3:$A$3000,"&gt;="&amp;DATE(2020,1,1),'DATA INPUT'!$A$3:$A$3000,"&lt;="&amp;DATE(2020,12,31),'DATA INPUT'!$B$3:$B$3000,$B24)),#N/A),IFERROR((SUMIFS('DATA INPUT'!$E$3:$E$3000,'DATA INPUT'!$A$3:$A$3000,"&gt;="&amp;DATE(2020,1,1),'DATA INPUT'!$A$3:$A$3000,"&lt;="&amp;DATE(2020,12,31),'DATA INPUT'!$B$3:$B$3000,$B24,'DATA INPUT'!$F$3:$F$3000,"&lt;&gt;*Exclude*")),#N/A))</f>
        <v>0</v>
      </c>
      <c r="G24" s="59">
        <f>IF($L$2="Yes",IFERROR((SUMIFS('DATA INPUT'!$E$3:$E$3000,'DATA INPUT'!$A$3:$A$3000,"&gt;="&amp;DATE(2021,1,1),'DATA INPUT'!$A$3:$A$3000,"&lt;="&amp;DATE(2021,12,31),'DATA INPUT'!$B$3:$B$3000,$B24)),#N/A),IFERROR((SUMIFS('DATA INPUT'!$E$3:$E$3000,'DATA INPUT'!$A$3:$A$3000,"&gt;="&amp;DATE(2021,1,1),'DATA INPUT'!$A$3:$A$3000,"&lt;="&amp;DATE(2021,12,31),'DATA INPUT'!$B$3:$B$3000,$B24,'DATA INPUT'!$F$3:$F$3000,"&lt;&gt;*Exclude*")),#N/A))</f>
        <v>0</v>
      </c>
      <c r="H24" s="59">
        <f>IF($L$2="Yes",IFERROR((SUMIFS('DATA INPUT'!$E$3:$E$3000,'DATA INPUT'!$A$3:$A$3000,"&gt;="&amp;DATE(2022,1,1),'DATA INPUT'!$A$3:$A$3000,"&lt;="&amp;DATE(2022,12,31),'DATA INPUT'!$B$3:$B$3000,$B24)),#N/A),IFERROR((SUMIFS('DATA INPUT'!$E$3:$E$3000,'DATA INPUT'!$A$3:$A$3000,"&gt;="&amp;DATE(2022,1,1),'DATA INPUT'!$A$3:$A$3000,"&lt;="&amp;DATE(2022,12,31),'DATA INPUT'!$B$3:$B$3000,$B24,'DATA INPUT'!$F$3:$F$3000,"&lt;&gt;*Exclude*")),#N/A))</f>
        <v>0</v>
      </c>
      <c r="I24" s="59">
        <f>IF($L$2="Yes",IFERROR((SUMIFS('DATA INPUT'!$E$3:$E$3000,'DATA INPUT'!$A$3:$A$3000,"&gt;="&amp;DATE(2023,1,1),'DATA INPUT'!$A$3:$A$3000,"&lt;="&amp;DATE(2023,12,31),'DATA INPUT'!$B$3:$B$3000,$B24)),#N/A),IFERROR((SUMIFS('DATA INPUT'!$E$3:$E$3000,'DATA INPUT'!$A$3:$A$3000,"&gt;="&amp;DATE(2023,1,1),'DATA INPUT'!$A$3:$A$3000,"&lt;="&amp;DATE(2023,12,31),'DATA INPUT'!$B$3:$B$3000,$B24,'DATA INPUT'!$F$3:$F$3000,"&lt;&gt;*Exclude*")),#N/A))</f>
        <v>0</v>
      </c>
      <c r="J24" s="59">
        <f>IF($L$2="Yes",IFERROR((SUMIFS('DATA INPUT'!$E$3:$E$3000,'DATA INPUT'!$A$3:$A$3000,"&gt;="&amp;DATE(2024,1,1),'DATA INPUT'!$A$3:$A$3000,"&lt;="&amp;DATE(2024,12,31),'DATA INPUT'!$B$3:$B$3000,$B24)),#N/A),IFERROR((SUMIFS('DATA INPUT'!$E$3:$E$3000,'DATA INPUT'!$A$3:$A$3000,"&gt;="&amp;DATE(2024,1,1),'DATA INPUT'!$A$3:$A$3000,"&lt;="&amp;DATE(2024,12,31),'DATA INPUT'!$B$3:$B$3000,$B24,'DATA INPUT'!$F$3:$F$3000,"&lt;&gt;*Exclude*")),#N/A))</f>
        <v>0</v>
      </c>
      <c r="K24" s="59">
        <f>IF($L$2="Yes",IFERROR((SUMIFS('DATA INPUT'!$E$3:$E$3000,'DATA INPUT'!$A$3:$A$3000,"&gt;="&amp;DATE(2025,1,1),'DATA INPUT'!$A$3:$A$3000,"&lt;="&amp;DATE(2025,12,31),'DATA INPUT'!$B$3:$B$3000,$B24)),#N/A),IFERROR((SUMIFS('DATA INPUT'!$E$3:$E$3000,'DATA INPUT'!$A$3:$A$3000,"&gt;="&amp;DATE(2025,1,1),'DATA INPUT'!$A$3:$A$3000,"&lt;="&amp;DATE(2025,12,31),'DATA INPUT'!$B$3:$B$3000,$B24,'DATA INPUT'!$F$3:$F$3000,"&lt;&gt;*Exclude*")),#N/A))</f>
        <v>0</v>
      </c>
      <c r="L24" s="103">
        <f t="shared" si="8"/>
        <v>0</v>
      </c>
      <c r="M24" s="106" t="str">
        <f t="shared" si="9"/>
        <v/>
      </c>
      <c r="Y24" s="149"/>
      <c r="Z24" s="149" t="s">
        <v>21</v>
      </c>
      <c r="AA24" s="136" t="e">
        <f>IF($L$2="Yes",IF(SUMIFS('DATA INPUT'!$E$3:$E$3000,'DATA INPUT'!$B$3:$B$3000,'Report Tables'!AA$1,'DATA INPUT'!$A$3:$A$3000,"&gt;="&amp;DATE(2018,10,1),'DATA INPUT'!$A$3:$A$3000,"&lt;"&amp;DATE(2018,10,31))=0,#N/A,(SUMIFS('DATA INPUT'!$E$3:$E$3000,'DATA INPUT'!$B$3:$B$3000,'Report Tables'!AA$1,'DATA INPUT'!$A$3:$A$3000,"&gt;="&amp;DATE(2018,10,1),'DATA INPUT'!$A$3:$A$3000,"&lt;"&amp;DATE(2018,10,31)))),IF(SUMIFS('DATA INPUT'!$E$3:$E$3000,'DATA INPUT'!$B$3:$B$3000,'Report Tables'!AA$1,'DATA INPUT'!$A$3:$A$3000,"&gt;="&amp;DATE(2018,10,1),'DATA INPUT'!$A$3:$A$3000,"&lt;"&amp;DATE(2018,10,31),'DATA INPUT'!$F$3:$F$3000,"&lt;&gt;*Exclude*")=0,#N/A,(SUMIFS('DATA INPUT'!$E$3:$E$3000,'DATA INPUT'!$B$3:$B$3000,'Report Tables'!AA$1,'DATA INPUT'!$A$3:$A$3000,"&gt;="&amp;DATE(2018,10,1),'DATA INPUT'!$A$3:$A$3000,"&lt;"&amp;DATE(2018,10,31),'DATA INPUT'!$F$3:$F$3000,"&lt;&gt;*Exclude*"))))</f>
        <v>#N/A</v>
      </c>
      <c r="AB24" s="136" t="e">
        <f>IF($L$2="Yes",IF(SUMIFS('DATA INPUT'!$E$3:$E$3000,'DATA INPUT'!$B$3:$B$3000,'Report Tables'!AB$1,'DATA INPUT'!$A$3:$A$3000,"&gt;="&amp;DATE(2018,10,1),'DATA INPUT'!$A$3:$A$3000,"&lt;"&amp;DATE(2018,10,31))=0,#N/A,(SUMIFS('DATA INPUT'!$E$3:$E$3000,'DATA INPUT'!$B$3:$B$3000,'Report Tables'!AB$1,'DATA INPUT'!$A$3:$A$3000,"&gt;="&amp;DATE(2018,10,1),'DATA INPUT'!$A$3:$A$3000,"&lt;"&amp;DATE(2018,10,31)))),IF(SUMIFS('DATA INPUT'!$E$3:$E$3000,'DATA INPUT'!$B$3:$B$3000,'Report Tables'!AB$1,'DATA INPUT'!$A$3:$A$3000,"&gt;="&amp;DATE(2018,10,1),'DATA INPUT'!$A$3:$A$3000,"&lt;"&amp;DATE(2018,10,31),'DATA INPUT'!$F$3:$F$3000,"&lt;&gt;*Exclude*")=0,#N/A,(SUMIFS('DATA INPUT'!$E$3:$E$3000,'DATA INPUT'!$B$3:$B$3000,'Report Tables'!AB$1,'DATA INPUT'!$A$3:$A$3000,"&gt;="&amp;DATE(2018,10,1),'DATA INPUT'!$A$3:$A$3000,"&lt;"&amp;DATE(2018,10,31),'DATA INPUT'!$F$3:$F$3000,"&lt;&gt;*Exclude*"))))</f>
        <v>#N/A</v>
      </c>
      <c r="AC24" s="136" t="e">
        <f>IF($L$2="Yes",IF(SUMIFS('DATA INPUT'!$E$3:$E$3000,'DATA INPUT'!$B$3:$B$3000,'Report Tables'!AC$1,'DATA INPUT'!$A$3:$A$3000,"&gt;="&amp;DATE(2018,10,1),'DATA INPUT'!$A$3:$A$3000,"&lt;"&amp;DATE(2018,10,31))=0,#N/A,(SUMIFS('DATA INPUT'!$E$3:$E$3000,'DATA INPUT'!$B$3:$B$3000,'Report Tables'!AC$1,'DATA INPUT'!$A$3:$A$3000,"&gt;="&amp;DATE(2018,10,1),'DATA INPUT'!$A$3:$A$3000,"&lt;"&amp;DATE(2018,10,31)))),IF(SUMIFS('DATA INPUT'!$E$3:$E$3000,'DATA INPUT'!$B$3:$B$3000,'Report Tables'!AC$1,'DATA INPUT'!$A$3:$A$3000,"&gt;="&amp;DATE(2018,10,1),'DATA INPUT'!$A$3:$A$3000,"&lt;"&amp;DATE(2018,10,31),'DATA INPUT'!$F$3:$F$3000,"&lt;&gt;*Exclude*")=0,#N/A,(SUMIFS('DATA INPUT'!$E$3:$E$3000,'DATA INPUT'!$B$3:$B$3000,'Report Tables'!AC$1,'DATA INPUT'!$A$3:$A$3000,"&gt;="&amp;DATE(2018,10,1),'DATA INPUT'!$A$3:$A$3000,"&lt;"&amp;DATE(2018,10,31),'DATA INPUT'!$F$3:$F$3000,"&lt;&gt;*Exclude*"))))</f>
        <v>#N/A</v>
      </c>
      <c r="AD24" s="136" t="e">
        <f>IF($L$2="Yes",IF(SUMIFS('DATA INPUT'!$E$3:$E$3000,'DATA INPUT'!$B$3:$B$3000,'Report Tables'!AD$1,'DATA INPUT'!$A$3:$A$3000,"&gt;="&amp;DATE(2018,10,1),'DATA INPUT'!$A$3:$A$3000,"&lt;"&amp;DATE(2018,10,31))=0,#N/A,(SUMIFS('DATA INPUT'!$E$3:$E$3000,'DATA INPUT'!$B$3:$B$3000,'Report Tables'!AD$1,'DATA INPUT'!$A$3:$A$3000,"&gt;="&amp;DATE(2018,10,1),'DATA INPUT'!$A$3:$A$3000,"&lt;"&amp;DATE(2018,10,31)))),IF(SUMIFS('DATA INPUT'!$E$3:$E$3000,'DATA INPUT'!$B$3:$B$3000,'Report Tables'!AD$1,'DATA INPUT'!$A$3:$A$3000,"&gt;="&amp;DATE(2018,10,1),'DATA INPUT'!$A$3:$A$3000,"&lt;"&amp;DATE(2018,10,31),'DATA INPUT'!$F$3:$F$3000,"&lt;&gt;*Exclude*")=0,#N/A,(SUMIFS('DATA INPUT'!$E$3:$E$3000,'DATA INPUT'!$B$3:$B$3000,'Report Tables'!AD$1,'DATA INPUT'!$A$3:$A$3000,"&gt;="&amp;DATE(2018,10,1),'DATA INPUT'!$A$3:$A$3000,"&lt;"&amp;DATE(2018,10,31),'DATA INPUT'!$F$3:$F$3000,"&lt;&gt;*Exclude*"))))</f>
        <v>#N/A</v>
      </c>
      <c r="AE24" s="136" t="e">
        <f>IF($L$2="Yes",IF(SUMIFS('DATA INPUT'!$E$3:$E$3000,'DATA INPUT'!$B$3:$B$3000,'Report Tables'!AE$1,'DATA INPUT'!$A$3:$A$3000,"&gt;="&amp;DATE(2018,10,1),'DATA INPUT'!$A$3:$A$3000,"&lt;"&amp;DATE(2018,10,31))=0,#N/A,(SUMIFS('DATA INPUT'!$E$3:$E$3000,'DATA INPUT'!$B$3:$B$3000,'Report Tables'!AE$1,'DATA INPUT'!$A$3:$A$3000,"&gt;="&amp;DATE(2018,10,1),'DATA INPUT'!$A$3:$A$3000,"&lt;"&amp;DATE(2018,10,31)))),IF(SUMIFS('DATA INPUT'!$E$3:$E$3000,'DATA INPUT'!$B$3:$B$3000,'Report Tables'!AE$1,'DATA INPUT'!$A$3:$A$3000,"&gt;="&amp;DATE(2018,10,1),'DATA INPUT'!$A$3:$A$3000,"&lt;"&amp;DATE(2018,10,31),'DATA INPUT'!$F$3:$F$3000,"&lt;&gt;*Exclude*")=0,#N/A,(SUMIFS('DATA INPUT'!$E$3:$E$3000,'DATA INPUT'!$B$3:$B$3000,'Report Tables'!AE$1,'DATA INPUT'!$A$3:$A$3000,"&gt;="&amp;DATE(2018,10,1),'DATA INPUT'!$A$3:$A$3000,"&lt;"&amp;DATE(2018,10,31),'DATA INPUT'!$F$3:$F$3000,"&lt;&gt;*Exclude*"))))</f>
        <v>#N/A</v>
      </c>
      <c r="AF24" s="136" t="e">
        <f>IF($L$2="Yes",IF(SUMIFS('DATA INPUT'!$E$3:$E$3000,'DATA INPUT'!$B$3:$B$3000,'Report Tables'!AF$1,'DATA INPUT'!$A$3:$A$3000,"&gt;="&amp;DATE(2018,10,1),'DATA INPUT'!$A$3:$A$3000,"&lt;"&amp;DATE(2018,10,31))=0,#N/A,(SUMIFS('DATA INPUT'!$E$3:$E$3000,'DATA INPUT'!$B$3:$B$3000,'Report Tables'!AF$1,'DATA INPUT'!$A$3:$A$3000,"&gt;="&amp;DATE(2018,10,1),'DATA INPUT'!$A$3:$A$3000,"&lt;"&amp;DATE(2018,10,31)))),IF(SUMIFS('DATA INPUT'!$E$3:$E$3000,'DATA INPUT'!$B$3:$B$3000,'Report Tables'!AF$1,'DATA INPUT'!$A$3:$A$3000,"&gt;="&amp;DATE(2018,10,1),'DATA INPUT'!$A$3:$A$3000,"&lt;"&amp;DATE(2018,10,31),'DATA INPUT'!$F$3:$F$3000,"&lt;&gt;*Exclude*")=0,#N/A,(SUMIFS('DATA INPUT'!$E$3:$E$3000,'DATA INPUT'!$B$3:$B$3000,'Report Tables'!AF$1,'DATA INPUT'!$A$3:$A$3000,"&gt;="&amp;DATE(2018,10,1),'DATA INPUT'!$A$3:$A$3000,"&lt;"&amp;DATE(2018,10,31),'DATA INPUT'!$F$3:$F$3000,"&lt;&gt;*Exclude*"))))</f>
        <v>#N/A</v>
      </c>
      <c r="AG24" s="136" t="e">
        <f>IF($L$2="Yes",IF(SUMIFS('DATA INPUT'!$E$3:$E$3000,'DATA INPUT'!$B$3:$B$3000,'Report Tables'!AG$1,'DATA INPUT'!$A$3:$A$3000,"&gt;="&amp;DATE(2018,10,1),'DATA INPUT'!$A$3:$A$3000,"&lt;"&amp;DATE(2018,10,31))=0,#N/A,(SUMIFS('DATA INPUT'!$E$3:$E$3000,'DATA INPUT'!$B$3:$B$3000,'Report Tables'!AG$1,'DATA INPUT'!$A$3:$A$3000,"&gt;="&amp;DATE(2018,10,1),'DATA INPUT'!$A$3:$A$3000,"&lt;"&amp;DATE(2018,10,31)))),IF(SUMIFS('DATA INPUT'!$E$3:$E$3000,'DATA INPUT'!$B$3:$B$3000,'Report Tables'!AG$1,'DATA INPUT'!$A$3:$A$3000,"&gt;="&amp;DATE(2018,10,1),'DATA INPUT'!$A$3:$A$3000,"&lt;"&amp;DATE(2018,10,31),'DATA INPUT'!$F$3:$F$3000,"&lt;&gt;*Exclude*")=0,#N/A,(SUMIFS('DATA INPUT'!$E$3:$E$3000,'DATA INPUT'!$B$3:$B$3000,'Report Tables'!AG$1,'DATA INPUT'!$A$3:$A$3000,"&gt;="&amp;DATE(2018,10,1),'DATA INPUT'!$A$3:$A$3000,"&lt;"&amp;DATE(2018,10,31),'DATA INPUT'!$F$3:$F$3000,"&lt;&gt;*Exclude*"))))</f>
        <v>#N/A</v>
      </c>
      <c r="AH24" s="136" t="e">
        <f>IF($L$2="Yes",IF(SUMIFS('DATA INPUT'!$E$3:$E$3000,'DATA INPUT'!$B$3:$B$3000,'Report Tables'!AH$1,'DATA INPUT'!$A$3:$A$3000,"&gt;="&amp;DATE(2018,10,1),'DATA INPUT'!$A$3:$A$3000,"&lt;"&amp;DATE(2018,10,31))=0,#N/A,(SUMIFS('DATA INPUT'!$E$3:$E$3000,'DATA INPUT'!$B$3:$B$3000,'Report Tables'!AH$1,'DATA INPUT'!$A$3:$A$3000,"&gt;="&amp;DATE(2018,10,1),'DATA INPUT'!$A$3:$A$3000,"&lt;"&amp;DATE(2018,10,31)))),IF(SUMIFS('DATA INPUT'!$E$3:$E$3000,'DATA INPUT'!$B$3:$B$3000,'Report Tables'!AH$1,'DATA INPUT'!$A$3:$A$3000,"&gt;="&amp;DATE(2018,10,1),'DATA INPUT'!$A$3:$A$3000,"&lt;"&amp;DATE(2018,10,31),'DATA INPUT'!$F$3:$F$3000,"&lt;&gt;*Exclude*")=0,#N/A,(SUMIFS('DATA INPUT'!$E$3:$E$3000,'DATA INPUT'!$B$3:$B$3000,'Report Tables'!AH$1,'DATA INPUT'!$A$3:$A$3000,"&gt;="&amp;DATE(2018,10,1),'DATA INPUT'!$A$3:$A$3000,"&lt;"&amp;DATE(2018,10,31),'DATA INPUT'!$F$3:$F$3000,"&lt;&gt;*Exclude*"))))</f>
        <v>#N/A</v>
      </c>
      <c r="AI24" s="136" t="e">
        <f t="shared" si="0"/>
        <v>#N/A</v>
      </c>
      <c r="AJ24" s="136" t="e">
        <f>IF($L$2="Yes",IF(SUMIFS('DATA INPUT'!$D$3:$D$3000,'DATA INPUT'!$A$3:$A$3000,"&gt;="&amp;DATE(2018,10,1),'DATA INPUT'!$A$3:$A$3000,"&lt;"&amp;DATE(2018,10,31),'DATA INPUT'!$G$3:$G$3000,"&lt;&gt;*School service*")=0,#N/A,(SUMIFS('DATA INPUT'!$D$3:$D$3000,'DATA INPUT'!$A$3:$A$3000,"&gt;="&amp;DATE(2018,10,1),'DATA INPUT'!$A$3:$A$3000,"&lt;"&amp;DATE(2018,10,31),'DATA INPUT'!$G$3:$G$3000,"&lt;&gt;*School service*"))),IF(SUMIFS('DATA INPUT'!$D$3:$D$3000,'DATA INPUT'!$A$3:$A$3000,"&gt;="&amp;DATE(2018,10,1),'DATA INPUT'!$A$3:$A$3000,"&lt;"&amp;DATE(2018,10,31),'DATA INPUT'!$F$3:$F$3000,"&lt;&gt;*Exclude*",'DATA INPUT'!$G$3:$G$3000,"&lt;&gt;*School service*")=0,#N/A,(SUMIFS('DATA INPUT'!$D$3:$D$3000,'DATA INPUT'!$A$3:$A$3000,"&gt;="&amp;DATE(2018,10,1),'DATA INPUT'!$A$3:$A$3000,"&lt;"&amp;DATE(2018,10,31),'DATA INPUT'!$F$3:$F$3000,"&lt;&gt;*Exclude*",'DATA INPUT'!$G$3:$G$3000,"&lt;&gt;*School service*"))))</f>
        <v>#N/A</v>
      </c>
      <c r="AK24" s="136" t="e">
        <f>AI24-AJ24</f>
        <v>#N/A</v>
      </c>
      <c r="AM24" s="117" t="e">
        <f>IF($L$2="Yes",IFERROR((SUMIFS('DATA INPUT'!$E$3:$E$3000,'DATA INPUT'!$B$3:$B$3000,'Report Tables'!AM$1,'DATA INPUT'!$A$3:$A$3000,"&gt;="&amp;DATE(2018,10,1),'DATA INPUT'!$A$3:$A$3000,"&lt;"&amp;DATE(2018,10,31)))/COUNTIFS('DATA INPUT'!$B$3:$B$3000,'Report Tables'!AM$1,'DATA INPUT'!$A$3:$A$3000,"&gt;="&amp;DATE(2018,10,1),'DATA INPUT'!$A$3:$A$3000,"&lt;"&amp;DATE(2018,10,31)),#N/A),IFERROR((SUMIFS('DATA INPUT'!$E$3:$E$3000,'DATA INPUT'!$B$3:$B$3000,'Report Tables'!AM$1,'DATA INPUT'!$A$3:$A$3000,"&gt;="&amp;DATE(2018,10,1),'DATA INPUT'!$A$3:$A$3000,"&lt;"&amp;DATE(2018,10,31),'DATA INPUT'!$F$3:$F$3000,"&lt;&gt;*Exclude*"))/(COUNTIFS('DATA INPUT'!$B$3:$B$3000,'Report Tables'!AM$1,'DATA INPUT'!$A$3:$A$3000,"&gt;="&amp;DATE(2018,10,1),'DATA INPUT'!$A$3:$A$3000,"&lt;"&amp;DATE(2018,10,31),'DATA INPUT'!$F$3:$F$3000,"&lt;&gt;*Exclude*")),#N/A))</f>
        <v>#N/A</v>
      </c>
      <c r="AN24" s="117" t="e">
        <f>IF($L$2="Yes",IFERROR((SUMIFS('DATA INPUT'!$E$3:$E$3000,'DATA INPUT'!$B$3:$B$3000,'Report Tables'!AN$1,'DATA INPUT'!$A$3:$A$3000,"&gt;="&amp;DATE(2018,10,1),'DATA INPUT'!$A$3:$A$3000,"&lt;"&amp;DATE(2018,10,31)))/COUNTIFS('DATA INPUT'!$B$3:$B$3000,'Report Tables'!AN$1,'DATA INPUT'!$A$3:$A$3000,"&gt;="&amp;DATE(2018,10,1),'DATA INPUT'!$A$3:$A$3000,"&lt;"&amp;DATE(2018,10,31)),#N/A),IFERROR((SUMIFS('DATA INPUT'!$E$3:$E$3000,'DATA INPUT'!$B$3:$B$3000,'Report Tables'!AN$1,'DATA INPUT'!$A$3:$A$3000,"&gt;="&amp;DATE(2018,10,1),'DATA INPUT'!$A$3:$A$3000,"&lt;"&amp;DATE(2018,10,31),'DATA INPUT'!$F$3:$F$3000,"&lt;&gt;*Exclude*"))/(COUNTIFS('DATA INPUT'!$B$3:$B$3000,'Report Tables'!AN$1,'DATA INPUT'!$A$3:$A$3000,"&gt;="&amp;DATE(2018,10,1),'DATA INPUT'!$A$3:$A$3000,"&lt;"&amp;DATE(2018,10,31),'DATA INPUT'!$F$3:$F$3000,"&lt;&gt;*Exclude*")),#N/A))</f>
        <v>#N/A</v>
      </c>
      <c r="AO24" s="117" t="e">
        <f>IF($L$2="Yes",IFERROR((SUMIFS('DATA INPUT'!$E$3:$E$3000,'DATA INPUT'!$B$3:$B$3000,'Report Tables'!AO$1,'DATA INPUT'!$A$3:$A$3000,"&gt;="&amp;DATE(2018,10,1),'DATA INPUT'!$A$3:$A$3000,"&lt;"&amp;DATE(2018,10,31)))/COUNTIFS('DATA INPUT'!$B$3:$B$3000,'Report Tables'!AO$1,'DATA INPUT'!$A$3:$A$3000,"&gt;="&amp;DATE(2018,10,1),'DATA INPUT'!$A$3:$A$3000,"&lt;"&amp;DATE(2018,10,31)),#N/A),IFERROR((SUMIFS('DATA INPUT'!$E$3:$E$3000,'DATA INPUT'!$B$3:$B$3000,'Report Tables'!AO$1,'DATA INPUT'!$A$3:$A$3000,"&gt;="&amp;DATE(2018,10,1),'DATA INPUT'!$A$3:$A$3000,"&lt;"&amp;DATE(2018,10,31),'DATA INPUT'!$F$3:$F$3000,"&lt;&gt;*Exclude*"))/(COUNTIFS('DATA INPUT'!$B$3:$B$3000,'Report Tables'!AO$1,'DATA INPUT'!$A$3:$A$3000,"&gt;="&amp;DATE(2018,10,1),'DATA INPUT'!$A$3:$A$3000,"&lt;"&amp;DATE(2018,10,31),'DATA INPUT'!$F$3:$F$3000,"&lt;&gt;*Exclude*")),#N/A))</f>
        <v>#N/A</v>
      </c>
      <c r="AP24" s="117" t="e">
        <f>IF($L$2="Yes",IFERROR((SUMIFS('DATA INPUT'!$E$3:$E$3000,'DATA INPUT'!$B$3:$B$3000,'Report Tables'!AP$1,'DATA INPUT'!$A$3:$A$3000,"&gt;="&amp;DATE(2018,10,1),'DATA INPUT'!$A$3:$A$3000,"&lt;"&amp;DATE(2018,10,31)))/COUNTIFS('DATA INPUT'!$B$3:$B$3000,'Report Tables'!AP$1,'DATA INPUT'!$A$3:$A$3000,"&gt;="&amp;DATE(2018,10,1),'DATA INPUT'!$A$3:$A$3000,"&lt;"&amp;DATE(2018,10,31)),#N/A),IFERROR((SUMIFS('DATA INPUT'!$E$3:$E$3000,'DATA INPUT'!$B$3:$B$3000,'Report Tables'!AP$1,'DATA INPUT'!$A$3:$A$3000,"&gt;="&amp;DATE(2018,10,1),'DATA INPUT'!$A$3:$A$3000,"&lt;"&amp;DATE(2018,10,31),'DATA INPUT'!$F$3:$F$3000,"&lt;&gt;*Exclude*"))/(COUNTIFS('DATA INPUT'!$B$3:$B$3000,'Report Tables'!AP$1,'DATA INPUT'!$A$3:$A$3000,"&gt;="&amp;DATE(2018,10,1),'DATA INPUT'!$A$3:$A$3000,"&lt;"&amp;DATE(2018,10,31),'DATA INPUT'!$F$3:$F$3000,"&lt;&gt;*Exclude*")),#N/A))</f>
        <v>#N/A</v>
      </c>
      <c r="AQ24" s="117" t="e">
        <f>IF($L$2="Yes",IFERROR((SUMIFS('DATA INPUT'!$E$3:$E$3000,'DATA INPUT'!$B$3:$B$3000,'Report Tables'!AQ$1,'DATA INPUT'!$A$3:$A$3000,"&gt;="&amp;DATE(2018,10,1),'DATA INPUT'!$A$3:$A$3000,"&lt;"&amp;DATE(2018,10,31)))/COUNTIFS('DATA INPUT'!$B$3:$B$3000,'Report Tables'!AQ$1,'DATA INPUT'!$A$3:$A$3000,"&gt;="&amp;DATE(2018,10,1),'DATA INPUT'!$A$3:$A$3000,"&lt;"&amp;DATE(2018,10,31)),#N/A),IFERROR((SUMIFS('DATA INPUT'!$E$3:$E$3000,'DATA INPUT'!$B$3:$B$3000,'Report Tables'!AQ$1,'DATA INPUT'!$A$3:$A$3000,"&gt;="&amp;DATE(2018,10,1),'DATA INPUT'!$A$3:$A$3000,"&lt;"&amp;DATE(2018,10,31),'DATA INPUT'!$F$3:$F$3000,"&lt;&gt;*Exclude*"))/(COUNTIFS('DATA INPUT'!$B$3:$B$3000,'Report Tables'!AQ$1,'DATA INPUT'!$A$3:$A$3000,"&gt;="&amp;DATE(2018,10,1),'DATA INPUT'!$A$3:$A$3000,"&lt;"&amp;DATE(2018,10,31),'DATA INPUT'!$F$3:$F$3000,"&lt;&gt;*Exclude*")),#N/A))</f>
        <v>#N/A</v>
      </c>
      <c r="AR24" s="117" t="e">
        <f>IF($L$2="Yes",IFERROR((SUMIFS('DATA INPUT'!$E$3:$E$3000,'DATA INPUT'!$B$3:$B$3000,'Report Tables'!AR$1,'DATA INPUT'!$A$3:$A$3000,"&gt;="&amp;DATE(2018,10,1),'DATA INPUT'!$A$3:$A$3000,"&lt;"&amp;DATE(2018,10,31)))/COUNTIFS('DATA INPUT'!$B$3:$B$3000,'Report Tables'!AR$1,'DATA INPUT'!$A$3:$A$3000,"&gt;="&amp;DATE(2018,10,1),'DATA INPUT'!$A$3:$A$3000,"&lt;"&amp;DATE(2018,10,31)),#N/A),IFERROR((SUMIFS('DATA INPUT'!$E$3:$E$3000,'DATA INPUT'!$B$3:$B$3000,'Report Tables'!AR$1,'DATA INPUT'!$A$3:$A$3000,"&gt;="&amp;DATE(2018,10,1),'DATA INPUT'!$A$3:$A$3000,"&lt;"&amp;DATE(2018,10,31),'DATA INPUT'!$F$3:$F$3000,"&lt;&gt;*Exclude*"))/(COUNTIFS('DATA INPUT'!$B$3:$B$3000,'Report Tables'!AR$1,'DATA INPUT'!$A$3:$A$3000,"&gt;="&amp;DATE(2018,10,1),'DATA INPUT'!$A$3:$A$3000,"&lt;"&amp;DATE(2018,10,31),'DATA INPUT'!$F$3:$F$3000,"&lt;&gt;*Exclude*")),#N/A))</f>
        <v>#N/A</v>
      </c>
      <c r="AS24" s="117" t="e">
        <f>IF($L$2="Yes",IFERROR((SUMIFS('DATA INPUT'!$E$3:$E$3000,'DATA INPUT'!$B$3:$B$3000,'Report Tables'!AS$1,'DATA INPUT'!$A$3:$A$3000,"&gt;="&amp;DATE(2018,10,1),'DATA INPUT'!$A$3:$A$3000,"&lt;"&amp;DATE(2018,10,31)))/COUNTIFS('DATA INPUT'!$B$3:$B$3000,'Report Tables'!AS$1,'DATA INPUT'!$A$3:$A$3000,"&gt;="&amp;DATE(2018,10,1),'DATA INPUT'!$A$3:$A$3000,"&lt;"&amp;DATE(2018,10,31)),#N/A),IFERROR((SUMIFS('DATA INPUT'!$E$3:$E$3000,'DATA INPUT'!$B$3:$B$3000,'Report Tables'!AS$1,'DATA INPUT'!$A$3:$A$3000,"&gt;="&amp;DATE(2018,10,1),'DATA INPUT'!$A$3:$A$3000,"&lt;"&amp;DATE(2018,10,31),'DATA INPUT'!$F$3:$F$3000,"&lt;&gt;*Exclude*"))/(COUNTIFS('DATA INPUT'!$B$3:$B$3000,'Report Tables'!AS$1,'DATA INPUT'!$A$3:$A$3000,"&gt;="&amp;DATE(2018,10,1),'DATA INPUT'!$A$3:$A$3000,"&lt;"&amp;DATE(2018,10,31),'DATA INPUT'!$F$3:$F$3000,"&lt;&gt;*Exclude*")),#N/A))</f>
        <v>#N/A</v>
      </c>
      <c r="AT24" s="117" t="e">
        <f>IF($L$2="Yes",IFERROR((SUMIFS('DATA INPUT'!$E$3:$E$3000,'DATA INPUT'!$B$3:$B$3000,'Report Tables'!AT$1,'DATA INPUT'!$A$3:$A$3000,"&gt;="&amp;DATE(2018,10,1),'DATA INPUT'!$A$3:$A$3000,"&lt;"&amp;DATE(2018,10,31)))/COUNTIFS('DATA INPUT'!$B$3:$B$3000,'Report Tables'!AT$1,'DATA INPUT'!$A$3:$A$3000,"&gt;="&amp;DATE(2018,10,1),'DATA INPUT'!$A$3:$A$3000,"&lt;"&amp;DATE(2018,10,31)),#N/A),IFERROR((SUMIFS('DATA INPUT'!$E$3:$E$3000,'DATA INPUT'!$B$3:$B$3000,'Report Tables'!AT$1,'DATA INPUT'!$A$3:$A$3000,"&gt;="&amp;DATE(2018,10,1),'DATA INPUT'!$A$3:$A$3000,"&lt;"&amp;DATE(2018,10,31),'DATA INPUT'!$F$3:$F$3000,"&lt;&gt;*Exclude*"))/(COUNTIFS('DATA INPUT'!$B$3:$B$3000,'Report Tables'!AT$1,'DATA INPUT'!$A$3:$A$3000,"&gt;="&amp;DATE(2018,10,1),'DATA INPUT'!$A$3:$A$3000,"&lt;"&amp;DATE(2018,10,31),'DATA INPUT'!$F$3:$F$3000,"&lt;&gt;*Exclude*")),#N/A))</f>
        <v>#N/A</v>
      </c>
      <c r="AU24" s="117" t="e">
        <f t="shared" si="1"/>
        <v>#N/A</v>
      </c>
      <c r="AV24" s="117" t="e">
        <f>IF($L$2="Yes",IFERROR((SUMIFS('DATA INPUT'!$D$3:$D$3000,'DATA INPUT'!$A$3:$A$3000,"&gt;="&amp;DATE(2018,10,1),'DATA INPUT'!$A$3:$A$3000,"&lt;"&amp;DATE(2018,10,31),'DATA INPUT'!$G$3:$G$3000,"&lt;&gt;*School service*"))/COUNTIFS('DATA INPUT'!$A$3:$A$3000,"&gt;="&amp;DATE(2018,10,1),'DATA INPUT'!$A$3:$A$3000,"&lt;"&amp;DATE(2018,10,31),'DATA INPUT'!$G$3:$G$3000,"&lt;&gt;*School service*",'DATA INPUT'!$D$3:$D$3000,"&lt;&gt;"&amp;""),#N/A),IFERROR((SUMIFS('DATA INPUT'!$D$3:$D$3000,'DATA INPUT'!$A$3:$A$3000,"&gt;="&amp;DATE(2018,10,1),'DATA INPUT'!$A$3:$A$3000,"&lt;"&amp;DATE(2018,10,31),'DATA INPUT'!$F$3:$F$3000,"&lt;&gt;*Exclude*",'DATA INPUT'!$G$3:$G$3000,"&lt;&gt;*School service*"))/(COUNTIFS('DATA INPUT'!$A$3:$A$3000,"&gt;="&amp;DATE(2018,10,1),'DATA INPUT'!$A$3:$A$3000,"&lt;"&amp;DATE(2018,10,31),'DATA INPUT'!$F$3:$F$3000,"&lt;&gt;*Exclude*",'DATA INPUT'!$G$3:$G$3000,"&lt;&gt;*School service*",'DATA INPUT'!$D$3:$D$3000,"&lt;&gt;"&amp;"")),#N/A))</f>
        <v>#N/A</v>
      </c>
      <c r="AW24" s="117" t="e">
        <f t="shared" si="2"/>
        <v>#N/A</v>
      </c>
      <c r="AX24" s="117" t="e">
        <f>IF($L$2="Yes",IFERROR((SUMIFS('DATA INPUT'!$E$3:$E$3000,'DATA INPUT'!$B$3:$B$3000,'Report Tables'!AX$1,'DATA INPUT'!$A$3:$A$3000,"&gt;="&amp;DATE(2018,10,1),'DATA INPUT'!$A$3:$A$3000,"&lt;"&amp;DATE(2018,10,31)))/COUNTIFS('DATA INPUT'!$B$3:$B$3000,'Report Tables'!AX$1,'DATA INPUT'!$A$3:$A$3000,"&gt;="&amp;DATE(2018,10,1),'DATA INPUT'!$A$3:$A$3000,"&lt;"&amp;DATE(2018,10,31)),#N/A),IFERROR((SUMIFS('DATA INPUT'!$E$3:$E$3000,'DATA INPUT'!$B$3:$B$3000,'Report Tables'!AX$1,'DATA INPUT'!$A$3:$A$3000,"&gt;="&amp;DATE(2018,10,1),'DATA INPUT'!$A$3:$A$3000,"&lt;"&amp;DATE(2018,10,31),'DATA INPUT'!$F$3:$F$3000,"&lt;&gt;*Exclude*"))/(COUNTIFS('DATA INPUT'!$B$3:$B$3000,'Report Tables'!AX$1,'DATA INPUT'!$A$3:$A$3000,"&gt;="&amp;DATE(2018,10,1),'DATA INPUT'!$A$3:$A$3000,"&lt;"&amp;DATE(2018,10,31),'DATA INPUT'!$F$3:$F$3000,"&lt;&gt;*Exclude*")),#N/A))</f>
        <v>#N/A</v>
      </c>
      <c r="AY24" s="117" t="e">
        <f>IF($L$2="Yes",IFERROR((SUMIFS('DATA INPUT'!$D$3:$D$3000,'DATA INPUT'!$B$3:$B$3000,'Report Tables'!AX$1,'DATA INPUT'!$A$3:$A$3000,"&gt;="&amp;DATE(2018,10,1),'DATA INPUT'!$A$3:$A$3000,"&lt;"&amp;DATE(2018,10,31)))/COUNTIFS('DATA INPUT'!$B$3:$B$3000,'Report Tables'!AX$1,'DATA INPUT'!$A$3:$A$3000,"&gt;="&amp;DATE(2018,10,1),'DATA INPUT'!$A$3:$A$3000,"&lt;"&amp;DATE(2018,10,31)),#N/A),IFERROR((SUMIFS('DATA INPUT'!$D$3:$D$3000,'DATA INPUT'!$B$3:$B$3000,'Report Tables'!AX$1,'DATA INPUT'!$A$3:$A$3000,"&gt;="&amp;DATE(2018,10,1),'DATA INPUT'!$A$3:$A$3000,"&lt;"&amp;DATE(2018,10,31),'DATA INPUT'!$F$3:$F$3000,"&lt;&gt;*Exclude*"))/(COUNTIFS('DATA INPUT'!$B$3:$B$3000,'Report Tables'!AX$1,'DATA INPUT'!$A$3:$A$3000,"&gt;="&amp;DATE(2018,10,1),'DATA INPUT'!$A$3:$A$3000,"&lt;"&amp;DATE(2018,10,31),'DATA INPUT'!$F$3:$F$3000,"&lt;&gt;*Exclude*")),#N/A))</f>
        <v>#N/A</v>
      </c>
      <c r="AZ24" s="117" t="e">
        <f>IF($L$2="Yes",IFERROR((SUMIFS('DATA INPUT'!$C$3:$C$3000,'DATA INPUT'!$B$3:$B$3000,'Report Tables'!AX$1,'DATA INPUT'!$A$3:$A$3000,"&gt;="&amp;DATE(2018,10,1),'DATA INPUT'!$A$3:$A$3000,"&lt;"&amp;DATE(2018,10,31)))/COUNTIFS('DATA INPUT'!$B$3:$B$3000,'Report Tables'!AX$1,'DATA INPUT'!$A$3:$A$3000,"&gt;="&amp;DATE(2018,10,1),'DATA INPUT'!$A$3:$A$3000,"&lt;"&amp;DATE(2018,10,31)),#N/A),IFERROR((SUMIFS('DATA INPUT'!$C$3:$C$3000,'DATA INPUT'!$B$3:$B$3000,'Report Tables'!AX$1,'DATA INPUT'!$A$3:$A$3000,"&gt;="&amp;DATE(2018,10,1),'DATA INPUT'!$A$3:$A$3000,"&lt;"&amp;DATE(2018,10,31),'DATA INPUT'!$F$3:$F$3000,"&lt;&gt;*Exclude*"))/(COUNTIFS('DATA INPUT'!$B$3:$B$3000,'Report Tables'!AX$1,'DATA INPUT'!$A$3:$A$3000,"&gt;="&amp;DATE(2018,10,1),'DATA INPUT'!$A$3:$A$3000,"&lt;"&amp;DATE(2018,10,31),'DATA INPUT'!$F$3:$F$3000,"&lt;&gt;*Exclude*")),#N/A))</f>
        <v>#N/A</v>
      </c>
    </row>
    <row r="25" spans="1:52" ht="15" thickBot="1" x14ac:dyDescent="0.35">
      <c r="B25" s="8" t="s">
        <v>91</v>
      </c>
      <c r="C25" s="102">
        <f>IFERROR(SUM(C17:C24),"")</f>
        <v>0</v>
      </c>
      <c r="D25" s="102">
        <f>IFERROR(SUM(D17:D24),"")</f>
        <v>0</v>
      </c>
      <c r="E25" s="102">
        <f t="shared" ref="E25:K25" si="10">IFERROR(SUM(E17:E24),"")</f>
        <v>0</v>
      </c>
      <c r="F25" s="102">
        <f t="shared" si="10"/>
        <v>0</v>
      </c>
      <c r="G25" s="102">
        <f t="shared" si="10"/>
        <v>0</v>
      </c>
      <c r="H25" s="102">
        <f t="shared" si="10"/>
        <v>0</v>
      </c>
      <c r="I25" s="102">
        <f t="shared" si="10"/>
        <v>0</v>
      </c>
      <c r="J25" s="102">
        <f t="shared" si="10"/>
        <v>0</v>
      </c>
      <c r="K25" s="102">
        <f t="shared" si="10"/>
        <v>0</v>
      </c>
      <c r="L25" s="104">
        <f>SUMIFS(C25:K25,C25:K25,"&lt;&gt;#DIV/0!",C25:K25,"&lt;&gt;#n/a")</f>
        <v>0</v>
      </c>
      <c r="M25" s="107" t="str">
        <f t="shared" si="9"/>
        <v/>
      </c>
      <c r="Y25" s="149"/>
      <c r="Z25" s="149" t="s">
        <v>22</v>
      </c>
      <c r="AA25" s="136" t="e">
        <f>IF($L$2="Yes",IF(SUMIFS('DATA INPUT'!$E$3:$E$3000,'DATA INPUT'!$B$3:$B$3000,'Report Tables'!AA$1,'DATA INPUT'!$A$3:$A$3000,"&gt;="&amp;DATE(2018,11,1),'DATA INPUT'!$A$3:$A$3000,"&lt;"&amp;DATE(2018,11,31))=0,#N/A,(SUMIFS('DATA INPUT'!$E$3:$E$3000,'DATA INPUT'!$B$3:$B$3000,'Report Tables'!AA$1,'DATA INPUT'!$A$3:$A$3000,"&gt;="&amp;DATE(2018,11,1),'DATA INPUT'!$A$3:$A$3000,"&lt;"&amp;DATE(2018,11,31)))),IF(SUMIFS('DATA INPUT'!$E$3:$E$3000,'DATA INPUT'!$B$3:$B$3000,'Report Tables'!AA$1,'DATA INPUT'!$A$3:$A$3000,"&gt;="&amp;DATE(2018,11,1),'DATA INPUT'!$A$3:$A$3000,"&lt;"&amp;DATE(2018,11,31),'DATA INPUT'!$F$3:$F$3000,"&lt;&gt;*Exclude*")=0,#N/A,(SUMIFS('DATA INPUT'!$E$3:$E$3000,'DATA INPUT'!$B$3:$B$3000,'Report Tables'!AA$1,'DATA INPUT'!$A$3:$A$3000,"&gt;="&amp;DATE(2018,11,1),'DATA INPUT'!$A$3:$A$3000,"&lt;"&amp;DATE(2018,11,31),'DATA INPUT'!$F$3:$F$3000,"&lt;&gt;*Exclude*"))))</f>
        <v>#N/A</v>
      </c>
      <c r="AB25" s="136" t="e">
        <f>IF($L$2="Yes",IF(SUMIFS('DATA INPUT'!$E$3:$E$3000,'DATA INPUT'!$B$3:$B$3000,'Report Tables'!AB$1,'DATA INPUT'!$A$3:$A$3000,"&gt;="&amp;DATE(2018,11,1),'DATA INPUT'!$A$3:$A$3000,"&lt;"&amp;DATE(2018,11,31))=0,#N/A,(SUMIFS('DATA INPUT'!$E$3:$E$3000,'DATA INPUT'!$B$3:$B$3000,'Report Tables'!AB$1,'DATA INPUT'!$A$3:$A$3000,"&gt;="&amp;DATE(2018,11,1),'DATA INPUT'!$A$3:$A$3000,"&lt;"&amp;DATE(2018,11,31)))),IF(SUMIFS('DATA INPUT'!$E$3:$E$3000,'DATA INPUT'!$B$3:$B$3000,'Report Tables'!AB$1,'DATA INPUT'!$A$3:$A$3000,"&gt;="&amp;DATE(2018,11,1),'DATA INPUT'!$A$3:$A$3000,"&lt;"&amp;DATE(2018,11,31),'DATA INPUT'!$F$3:$F$3000,"&lt;&gt;*Exclude*")=0,#N/A,(SUMIFS('DATA INPUT'!$E$3:$E$3000,'DATA INPUT'!$B$3:$B$3000,'Report Tables'!AB$1,'DATA INPUT'!$A$3:$A$3000,"&gt;="&amp;DATE(2018,11,1),'DATA INPUT'!$A$3:$A$3000,"&lt;"&amp;DATE(2018,11,31),'DATA INPUT'!$F$3:$F$3000,"&lt;&gt;*Exclude*"))))</f>
        <v>#N/A</v>
      </c>
      <c r="AC25" s="136" t="e">
        <f>IF($L$2="Yes",IF(SUMIFS('DATA INPUT'!$E$3:$E$3000,'DATA INPUT'!$B$3:$B$3000,'Report Tables'!AC$1,'DATA INPUT'!$A$3:$A$3000,"&gt;="&amp;DATE(2018,11,1),'DATA INPUT'!$A$3:$A$3000,"&lt;"&amp;DATE(2018,11,31))=0,#N/A,(SUMIFS('DATA INPUT'!$E$3:$E$3000,'DATA INPUT'!$B$3:$B$3000,'Report Tables'!AC$1,'DATA INPUT'!$A$3:$A$3000,"&gt;="&amp;DATE(2018,11,1),'DATA INPUT'!$A$3:$A$3000,"&lt;"&amp;DATE(2018,11,31)))),IF(SUMIFS('DATA INPUT'!$E$3:$E$3000,'DATA INPUT'!$B$3:$B$3000,'Report Tables'!AC$1,'DATA INPUT'!$A$3:$A$3000,"&gt;="&amp;DATE(2018,11,1),'DATA INPUT'!$A$3:$A$3000,"&lt;"&amp;DATE(2018,11,31),'DATA INPUT'!$F$3:$F$3000,"&lt;&gt;*Exclude*")=0,#N/A,(SUMIFS('DATA INPUT'!$E$3:$E$3000,'DATA INPUT'!$B$3:$B$3000,'Report Tables'!AC$1,'DATA INPUT'!$A$3:$A$3000,"&gt;="&amp;DATE(2018,11,1),'DATA INPUT'!$A$3:$A$3000,"&lt;"&amp;DATE(2018,11,31),'DATA INPUT'!$F$3:$F$3000,"&lt;&gt;*Exclude*"))))</f>
        <v>#N/A</v>
      </c>
      <c r="AD25" s="136" t="e">
        <f>IF($L$2="Yes",IF(SUMIFS('DATA INPUT'!$E$3:$E$3000,'DATA INPUT'!$B$3:$B$3000,'Report Tables'!AD$1,'DATA INPUT'!$A$3:$A$3000,"&gt;="&amp;DATE(2018,11,1),'DATA INPUT'!$A$3:$A$3000,"&lt;"&amp;DATE(2018,11,31))=0,#N/A,(SUMIFS('DATA INPUT'!$E$3:$E$3000,'DATA INPUT'!$B$3:$B$3000,'Report Tables'!AD$1,'DATA INPUT'!$A$3:$A$3000,"&gt;="&amp;DATE(2018,11,1),'DATA INPUT'!$A$3:$A$3000,"&lt;"&amp;DATE(2018,11,31)))),IF(SUMIFS('DATA INPUT'!$E$3:$E$3000,'DATA INPUT'!$B$3:$B$3000,'Report Tables'!AD$1,'DATA INPUT'!$A$3:$A$3000,"&gt;="&amp;DATE(2018,11,1),'DATA INPUT'!$A$3:$A$3000,"&lt;"&amp;DATE(2018,11,31),'DATA INPUT'!$F$3:$F$3000,"&lt;&gt;*Exclude*")=0,#N/A,(SUMIFS('DATA INPUT'!$E$3:$E$3000,'DATA INPUT'!$B$3:$B$3000,'Report Tables'!AD$1,'DATA INPUT'!$A$3:$A$3000,"&gt;="&amp;DATE(2018,11,1),'DATA INPUT'!$A$3:$A$3000,"&lt;"&amp;DATE(2018,11,31),'DATA INPUT'!$F$3:$F$3000,"&lt;&gt;*Exclude*"))))</f>
        <v>#N/A</v>
      </c>
      <c r="AE25" s="136" t="e">
        <f>IF($L$2="Yes",IF(SUMIFS('DATA INPUT'!$E$3:$E$3000,'DATA INPUT'!$B$3:$B$3000,'Report Tables'!AE$1,'DATA INPUT'!$A$3:$A$3000,"&gt;="&amp;DATE(2018,11,1),'DATA INPUT'!$A$3:$A$3000,"&lt;"&amp;DATE(2018,11,31))=0,#N/A,(SUMIFS('DATA INPUT'!$E$3:$E$3000,'DATA INPUT'!$B$3:$B$3000,'Report Tables'!AE$1,'DATA INPUT'!$A$3:$A$3000,"&gt;="&amp;DATE(2018,11,1),'DATA INPUT'!$A$3:$A$3000,"&lt;"&amp;DATE(2018,11,31)))),IF(SUMIFS('DATA INPUT'!$E$3:$E$3000,'DATA INPUT'!$B$3:$B$3000,'Report Tables'!AE$1,'DATA INPUT'!$A$3:$A$3000,"&gt;="&amp;DATE(2018,11,1),'DATA INPUT'!$A$3:$A$3000,"&lt;"&amp;DATE(2018,11,31),'DATA INPUT'!$F$3:$F$3000,"&lt;&gt;*Exclude*")=0,#N/A,(SUMIFS('DATA INPUT'!$E$3:$E$3000,'DATA INPUT'!$B$3:$B$3000,'Report Tables'!AE$1,'DATA INPUT'!$A$3:$A$3000,"&gt;="&amp;DATE(2018,11,1),'DATA INPUT'!$A$3:$A$3000,"&lt;"&amp;DATE(2018,11,31),'DATA INPUT'!$F$3:$F$3000,"&lt;&gt;*Exclude*"))))</f>
        <v>#N/A</v>
      </c>
      <c r="AF25" s="136" t="e">
        <f>IF($L$2="Yes",IF(SUMIFS('DATA INPUT'!$E$3:$E$3000,'DATA INPUT'!$B$3:$B$3000,'Report Tables'!AF$1,'DATA INPUT'!$A$3:$A$3000,"&gt;="&amp;DATE(2018,11,1),'DATA INPUT'!$A$3:$A$3000,"&lt;"&amp;DATE(2018,11,31))=0,#N/A,(SUMIFS('DATA INPUT'!$E$3:$E$3000,'DATA INPUT'!$B$3:$B$3000,'Report Tables'!AF$1,'DATA INPUT'!$A$3:$A$3000,"&gt;="&amp;DATE(2018,11,1),'DATA INPUT'!$A$3:$A$3000,"&lt;"&amp;DATE(2018,11,31)))),IF(SUMIFS('DATA INPUT'!$E$3:$E$3000,'DATA INPUT'!$B$3:$B$3000,'Report Tables'!AF$1,'DATA INPUT'!$A$3:$A$3000,"&gt;="&amp;DATE(2018,11,1),'DATA INPUT'!$A$3:$A$3000,"&lt;"&amp;DATE(2018,11,31),'DATA INPUT'!$F$3:$F$3000,"&lt;&gt;*Exclude*")=0,#N/A,(SUMIFS('DATA INPUT'!$E$3:$E$3000,'DATA INPUT'!$B$3:$B$3000,'Report Tables'!AF$1,'DATA INPUT'!$A$3:$A$3000,"&gt;="&amp;DATE(2018,11,1),'DATA INPUT'!$A$3:$A$3000,"&lt;"&amp;DATE(2018,11,31),'DATA INPUT'!$F$3:$F$3000,"&lt;&gt;*Exclude*"))))</f>
        <v>#N/A</v>
      </c>
      <c r="AG25" s="136" t="e">
        <f>IF($L$2="Yes",IF(SUMIFS('DATA INPUT'!$E$3:$E$3000,'DATA INPUT'!$B$3:$B$3000,'Report Tables'!AG$1,'DATA INPUT'!$A$3:$A$3000,"&gt;="&amp;DATE(2018,11,1),'DATA INPUT'!$A$3:$A$3000,"&lt;"&amp;DATE(2018,11,31))=0,#N/A,(SUMIFS('DATA INPUT'!$E$3:$E$3000,'DATA INPUT'!$B$3:$B$3000,'Report Tables'!AG$1,'DATA INPUT'!$A$3:$A$3000,"&gt;="&amp;DATE(2018,11,1),'DATA INPUT'!$A$3:$A$3000,"&lt;"&amp;DATE(2018,11,31)))),IF(SUMIFS('DATA INPUT'!$E$3:$E$3000,'DATA INPUT'!$B$3:$B$3000,'Report Tables'!AG$1,'DATA INPUT'!$A$3:$A$3000,"&gt;="&amp;DATE(2018,11,1),'DATA INPUT'!$A$3:$A$3000,"&lt;"&amp;DATE(2018,11,31),'DATA INPUT'!$F$3:$F$3000,"&lt;&gt;*Exclude*")=0,#N/A,(SUMIFS('DATA INPUT'!$E$3:$E$3000,'DATA INPUT'!$B$3:$B$3000,'Report Tables'!AG$1,'DATA INPUT'!$A$3:$A$3000,"&gt;="&amp;DATE(2018,11,1),'DATA INPUT'!$A$3:$A$3000,"&lt;"&amp;DATE(2018,11,31),'DATA INPUT'!$F$3:$F$3000,"&lt;&gt;*Exclude*"))))</f>
        <v>#N/A</v>
      </c>
      <c r="AH25" s="136" t="e">
        <f>IF($L$2="Yes",IF(SUMIFS('DATA INPUT'!$E$3:$E$3000,'DATA INPUT'!$B$3:$B$3000,'Report Tables'!AH$1,'DATA INPUT'!$A$3:$A$3000,"&gt;="&amp;DATE(2018,11,1),'DATA INPUT'!$A$3:$A$3000,"&lt;"&amp;DATE(2018,11,31))=0,#N/A,(SUMIFS('DATA INPUT'!$E$3:$E$3000,'DATA INPUT'!$B$3:$B$3000,'Report Tables'!AH$1,'DATA INPUT'!$A$3:$A$3000,"&gt;="&amp;DATE(2018,11,1),'DATA INPUT'!$A$3:$A$3000,"&lt;"&amp;DATE(2018,11,31)))),IF(SUMIFS('DATA INPUT'!$E$3:$E$3000,'DATA INPUT'!$B$3:$B$3000,'Report Tables'!AH$1,'DATA INPUT'!$A$3:$A$3000,"&gt;="&amp;DATE(2018,11,1),'DATA INPUT'!$A$3:$A$3000,"&lt;"&amp;DATE(2018,11,31),'DATA INPUT'!$F$3:$F$3000,"&lt;&gt;*Exclude*")=0,#N/A,(SUMIFS('DATA INPUT'!$E$3:$E$3000,'DATA INPUT'!$B$3:$B$3000,'Report Tables'!AH$1,'DATA INPUT'!$A$3:$A$3000,"&gt;="&amp;DATE(2018,11,1),'DATA INPUT'!$A$3:$A$3000,"&lt;"&amp;DATE(2018,11,31),'DATA INPUT'!$F$3:$F$3000,"&lt;&gt;*Exclude*"))))</f>
        <v>#N/A</v>
      </c>
      <c r="AI25" s="136" t="e">
        <f t="shared" si="0"/>
        <v>#N/A</v>
      </c>
      <c r="AJ25" s="136" t="e">
        <f>IF($L$2="Yes",IF(SUMIFS('DATA INPUT'!$D$3:$D$3000,'DATA INPUT'!$A$3:$A$3000,"&gt;="&amp;DATE(2018,11,1),'DATA INPUT'!$A$3:$A$3000,"&lt;"&amp;DATE(2018,11,31),'DATA INPUT'!$G$3:$G$3000,"&lt;&gt;*School service*")=0,#N/A,(SUMIFS('DATA INPUT'!$D$3:$D$3000,'DATA INPUT'!$A$3:$A$3000,"&gt;="&amp;DATE(2018,11,1),'DATA INPUT'!$A$3:$A$3000,"&lt;"&amp;DATE(2018,11,31),'DATA INPUT'!$G$3:$G$3000,"&lt;&gt;*School service*"))),IF(SUMIFS('DATA INPUT'!$D$3:$D$3000,'DATA INPUT'!$A$3:$A$3000,"&gt;="&amp;DATE(2018,11,1),'DATA INPUT'!$A$3:$A$3000,"&lt;"&amp;DATE(2018,11,31),'DATA INPUT'!$F$3:$F$3000,"&lt;&gt;*Exclude*",'DATA INPUT'!$G$3:$G$3000,"&lt;&gt;*School service*")=0,#N/A,(SUMIFS('DATA INPUT'!$D$3:$D$3000,'DATA INPUT'!$A$3:$A$3000,"&gt;="&amp;DATE(2018,11,1),'DATA INPUT'!$A$3:$A$3000,"&lt;"&amp;DATE(2018,11,31),'DATA INPUT'!$F$3:$F$3000,"&lt;&gt;*Exclude*",'DATA INPUT'!$G$3:$G$3000,"&lt;&gt;*School service*"))))</f>
        <v>#N/A</v>
      </c>
      <c r="AK25" s="136" t="e">
        <f>AI25-AJ25</f>
        <v>#N/A</v>
      </c>
      <c r="AM25" s="117" t="e">
        <f>IF($L$2="Yes",IFERROR((SUMIFS('DATA INPUT'!$E$3:$E$3000,'DATA INPUT'!$B$3:$B$3000,'Report Tables'!AM$1,'DATA INPUT'!$A$3:$A$3000,"&gt;="&amp;DATE(2018,11,1),'DATA INPUT'!$A$3:$A$3000,"&lt;"&amp;DATE(2018,11,31)))/COUNTIFS('DATA INPUT'!$B$3:$B$3000,'Report Tables'!AM$1,'DATA INPUT'!$A$3:$A$3000,"&gt;="&amp;DATE(2018,11,1),'DATA INPUT'!$A$3:$A$3000,"&lt;"&amp;DATE(2018,11,31)),#N/A),IFERROR((SUMIFS('DATA INPUT'!$E$3:$E$3000,'DATA INPUT'!$B$3:$B$3000,'Report Tables'!AM$1,'DATA INPUT'!$A$3:$A$3000,"&gt;="&amp;DATE(2018,11,1),'DATA INPUT'!$A$3:$A$3000,"&lt;"&amp;DATE(2018,11,31),'DATA INPUT'!$F$3:$F$3000,"&lt;&gt;*Exclude*"))/(COUNTIFS('DATA INPUT'!$B$3:$B$3000,'Report Tables'!AM$1,'DATA INPUT'!$A$3:$A$3000,"&gt;="&amp;DATE(2018,11,1),'DATA INPUT'!$A$3:$A$3000,"&lt;"&amp;DATE(2018,11,31),'DATA INPUT'!$F$3:$F$3000,"&lt;&gt;*Exclude*")),#N/A))</f>
        <v>#N/A</v>
      </c>
      <c r="AN25" s="117" t="e">
        <f>IF($L$2="Yes",IFERROR((SUMIFS('DATA INPUT'!$E$3:$E$3000,'DATA INPUT'!$B$3:$B$3000,'Report Tables'!AN$1,'DATA INPUT'!$A$3:$A$3000,"&gt;="&amp;DATE(2018,11,1),'DATA INPUT'!$A$3:$A$3000,"&lt;"&amp;DATE(2018,11,31)))/COUNTIFS('DATA INPUT'!$B$3:$B$3000,'Report Tables'!AN$1,'DATA INPUT'!$A$3:$A$3000,"&gt;="&amp;DATE(2018,11,1),'DATA INPUT'!$A$3:$A$3000,"&lt;"&amp;DATE(2018,11,31)),#N/A),IFERROR((SUMIFS('DATA INPUT'!$E$3:$E$3000,'DATA INPUT'!$B$3:$B$3000,'Report Tables'!AN$1,'DATA INPUT'!$A$3:$A$3000,"&gt;="&amp;DATE(2018,11,1),'DATA INPUT'!$A$3:$A$3000,"&lt;"&amp;DATE(2018,11,31),'DATA INPUT'!$F$3:$F$3000,"&lt;&gt;*Exclude*"))/(COUNTIFS('DATA INPUT'!$B$3:$B$3000,'Report Tables'!AN$1,'DATA INPUT'!$A$3:$A$3000,"&gt;="&amp;DATE(2018,11,1),'DATA INPUT'!$A$3:$A$3000,"&lt;"&amp;DATE(2018,11,31),'DATA INPUT'!$F$3:$F$3000,"&lt;&gt;*Exclude*")),#N/A))</f>
        <v>#N/A</v>
      </c>
      <c r="AO25" s="117" t="e">
        <f>IF($L$2="Yes",IFERROR((SUMIFS('DATA INPUT'!$E$3:$E$3000,'DATA INPUT'!$B$3:$B$3000,'Report Tables'!AO$1,'DATA INPUT'!$A$3:$A$3000,"&gt;="&amp;DATE(2018,11,1),'DATA INPUT'!$A$3:$A$3000,"&lt;"&amp;DATE(2018,11,31)))/COUNTIFS('DATA INPUT'!$B$3:$B$3000,'Report Tables'!AO$1,'DATA INPUT'!$A$3:$A$3000,"&gt;="&amp;DATE(2018,11,1),'DATA INPUT'!$A$3:$A$3000,"&lt;"&amp;DATE(2018,11,31)),#N/A),IFERROR((SUMIFS('DATA INPUT'!$E$3:$E$3000,'DATA INPUT'!$B$3:$B$3000,'Report Tables'!AO$1,'DATA INPUT'!$A$3:$A$3000,"&gt;="&amp;DATE(2018,11,1),'DATA INPUT'!$A$3:$A$3000,"&lt;"&amp;DATE(2018,11,31),'DATA INPUT'!$F$3:$F$3000,"&lt;&gt;*Exclude*"))/(COUNTIFS('DATA INPUT'!$B$3:$B$3000,'Report Tables'!AO$1,'DATA INPUT'!$A$3:$A$3000,"&gt;="&amp;DATE(2018,11,1),'DATA INPUT'!$A$3:$A$3000,"&lt;"&amp;DATE(2018,11,31),'DATA INPUT'!$F$3:$F$3000,"&lt;&gt;*Exclude*")),#N/A))</f>
        <v>#N/A</v>
      </c>
      <c r="AP25" s="117" t="e">
        <f>IF($L$2="Yes",IFERROR((SUMIFS('DATA INPUT'!$E$3:$E$3000,'DATA INPUT'!$B$3:$B$3000,'Report Tables'!AP$1,'DATA INPUT'!$A$3:$A$3000,"&gt;="&amp;DATE(2018,11,1),'DATA INPUT'!$A$3:$A$3000,"&lt;"&amp;DATE(2018,11,31)))/COUNTIFS('DATA INPUT'!$B$3:$B$3000,'Report Tables'!AP$1,'DATA INPUT'!$A$3:$A$3000,"&gt;="&amp;DATE(2018,11,1),'DATA INPUT'!$A$3:$A$3000,"&lt;"&amp;DATE(2018,11,31)),#N/A),IFERROR((SUMIFS('DATA INPUT'!$E$3:$E$3000,'DATA INPUT'!$B$3:$B$3000,'Report Tables'!AP$1,'DATA INPUT'!$A$3:$A$3000,"&gt;="&amp;DATE(2018,11,1),'DATA INPUT'!$A$3:$A$3000,"&lt;"&amp;DATE(2018,11,31),'DATA INPUT'!$F$3:$F$3000,"&lt;&gt;*Exclude*"))/(COUNTIFS('DATA INPUT'!$B$3:$B$3000,'Report Tables'!AP$1,'DATA INPUT'!$A$3:$A$3000,"&gt;="&amp;DATE(2018,11,1),'DATA INPUT'!$A$3:$A$3000,"&lt;"&amp;DATE(2018,11,31),'DATA INPUT'!$F$3:$F$3000,"&lt;&gt;*Exclude*")),#N/A))</f>
        <v>#N/A</v>
      </c>
      <c r="AQ25" s="117" t="e">
        <f>IF($L$2="Yes",IFERROR((SUMIFS('DATA INPUT'!$E$3:$E$3000,'DATA INPUT'!$B$3:$B$3000,'Report Tables'!AQ$1,'DATA INPUT'!$A$3:$A$3000,"&gt;="&amp;DATE(2018,11,1),'DATA INPUT'!$A$3:$A$3000,"&lt;"&amp;DATE(2018,11,31)))/COUNTIFS('DATA INPUT'!$B$3:$B$3000,'Report Tables'!AQ$1,'DATA INPUT'!$A$3:$A$3000,"&gt;="&amp;DATE(2018,11,1),'DATA INPUT'!$A$3:$A$3000,"&lt;"&amp;DATE(2018,11,31)),#N/A),IFERROR((SUMIFS('DATA INPUT'!$E$3:$E$3000,'DATA INPUT'!$B$3:$B$3000,'Report Tables'!AQ$1,'DATA INPUT'!$A$3:$A$3000,"&gt;="&amp;DATE(2018,11,1),'DATA INPUT'!$A$3:$A$3000,"&lt;"&amp;DATE(2018,11,31),'DATA INPUT'!$F$3:$F$3000,"&lt;&gt;*Exclude*"))/(COUNTIFS('DATA INPUT'!$B$3:$B$3000,'Report Tables'!AQ$1,'DATA INPUT'!$A$3:$A$3000,"&gt;="&amp;DATE(2018,11,1),'DATA INPUT'!$A$3:$A$3000,"&lt;"&amp;DATE(2018,11,31),'DATA INPUT'!$F$3:$F$3000,"&lt;&gt;*Exclude*")),#N/A))</f>
        <v>#N/A</v>
      </c>
      <c r="AR25" s="117" t="e">
        <f>IF($L$2="Yes",IFERROR((SUMIFS('DATA INPUT'!$E$3:$E$3000,'DATA INPUT'!$B$3:$B$3000,'Report Tables'!AR$1,'DATA INPUT'!$A$3:$A$3000,"&gt;="&amp;DATE(2018,11,1),'DATA INPUT'!$A$3:$A$3000,"&lt;"&amp;DATE(2018,11,31)))/COUNTIFS('DATA INPUT'!$B$3:$B$3000,'Report Tables'!AR$1,'DATA INPUT'!$A$3:$A$3000,"&gt;="&amp;DATE(2018,11,1),'DATA INPUT'!$A$3:$A$3000,"&lt;"&amp;DATE(2018,11,31)),#N/A),IFERROR((SUMIFS('DATA INPUT'!$E$3:$E$3000,'DATA INPUT'!$B$3:$B$3000,'Report Tables'!AR$1,'DATA INPUT'!$A$3:$A$3000,"&gt;="&amp;DATE(2018,11,1),'DATA INPUT'!$A$3:$A$3000,"&lt;"&amp;DATE(2018,11,31),'DATA INPUT'!$F$3:$F$3000,"&lt;&gt;*Exclude*"))/(COUNTIFS('DATA INPUT'!$B$3:$B$3000,'Report Tables'!AR$1,'DATA INPUT'!$A$3:$A$3000,"&gt;="&amp;DATE(2018,11,1),'DATA INPUT'!$A$3:$A$3000,"&lt;"&amp;DATE(2018,11,31),'DATA INPUT'!$F$3:$F$3000,"&lt;&gt;*Exclude*")),#N/A))</f>
        <v>#N/A</v>
      </c>
      <c r="AS25" s="117" t="e">
        <f>IF($L$2="Yes",IFERROR((SUMIFS('DATA INPUT'!$E$3:$E$3000,'DATA INPUT'!$B$3:$B$3000,'Report Tables'!AS$1,'DATA INPUT'!$A$3:$A$3000,"&gt;="&amp;DATE(2018,11,1),'DATA INPUT'!$A$3:$A$3000,"&lt;"&amp;DATE(2018,11,31)))/COUNTIFS('DATA INPUT'!$B$3:$B$3000,'Report Tables'!AS$1,'DATA INPUT'!$A$3:$A$3000,"&gt;="&amp;DATE(2018,11,1),'DATA INPUT'!$A$3:$A$3000,"&lt;"&amp;DATE(2018,11,31)),#N/A),IFERROR((SUMIFS('DATA INPUT'!$E$3:$E$3000,'DATA INPUT'!$B$3:$B$3000,'Report Tables'!AS$1,'DATA INPUT'!$A$3:$A$3000,"&gt;="&amp;DATE(2018,11,1),'DATA INPUT'!$A$3:$A$3000,"&lt;"&amp;DATE(2018,11,31),'DATA INPUT'!$F$3:$F$3000,"&lt;&gt;*Exclude*"))/(COUNTIFS('DATA INPUT'!$B$3:$B$3000,'Report Tables'!AS$1,'DATA INPUT'!$A$3:$A$3000,"&gt;="&amp;DATE(2018,11,1),'DATA INPUT'!$A$3:$A$3000,"&lt;"&amp;DATE(2018,11,31),'DATA INPUT'!$F$3:$F$3000,"&lt;&gt;*Exclude*")),#N/A))</f>
        <v>#N/A</v>
      </c>
      <c r="AT25" s="117" t="e">
        <f>IF($L$2="Yes",IFERROR((SUMIFS('DATA INPUT'!$E$3:$E$3000,'DATA INPUT'!$B$3:$B$3000,'Report Tables'!AT$1,'DATA INPUT'!$A$3:$A$3000,"&gt;="&amp;DATE(2018,11,1),'DATA INPUT'!$A$3:$A$3000,"&lt;"&amp;DATE(2018,11,31)))/COUNTIFS('DATA INPUT'!$B$3:$B$3000,'Report Tables'!AT$1,'DATA INPUT'!$A$3:$A$3000,"&gt;="&amp;DATE(2018,11,1),'DATA INPUT'!$A$3:$A$3000,"&lt;"&amp;DATE(2018,11,31)),#N/A),IFERROR((SUMIFS('DATA INPUT'!$E$3:$E$3000,'DATA INPUT'!$B$3:$B$3000,'Report Tables'!AT$1,'DATA INPUT'!$A$3:$A$3000,"&gt;="&amp;DATE(2018,11,1),'DATA INPUT'!$A$3:$A$3000,"&lt;"&amp;DATE(2018,11,31),'DATA INPUT'!$F$3:$F$3000,"&lt;&gt;*Exclude*"))/(COUNTIFS('DATA INPUT'!$B$3:$B$3000,'Report Tables'!AT$1,'DATA INPUT'!$A$3:$A$3000,"&gt;="&amp;DATE(2018,11,1),'DATA INPUT'!$A$3:$A$3000,"&lt;"&amp;DATE(2018,11,31),'DATA INPUT'!$F$3:$F$3000,"&lt;&gt;*Exclude*")),#N/A))</f>
        <v>#N/A</v>
      </c>
      <c r="AU25" s="117" t="e">
        <f t="shared" si="1"/>
        <v>#N/A</v>
      </c>
      <c r="AV25" s="117" t="e">
        <f>IF($L$2="Yes",IFERROR((SUMIFS('DATA INPUT'!$D$3:$D$3000,'DATA INPUT'!$A$3:$A$3000,"&gt;="&amp;DATE(2018,11,1),'DATA INPUT'!$A$3:$A$3000,"&lt;"&amp;DATE(2018,11,31),'DATA INPUT'!$G$3:$G$3000,"&lt;&gt;*School service*"))/COUNTIFS('DATA INPUT'!$A$3:$A$3000,"&gt;="&amp;DATE(2018,11,1),'DATA INPUT'!$A$3:$A$3000,"&lt;"&amp;DATE(2018,11,31),'DATA INPUT'!$G$3:$G$3000,"&lt;&gt;*School service*",'DATA INPUT'!$D$3:$D$3000,"&lt;&gt;"&amp;""),#N/A),IFERROR((SUMIFS('DATA INPUT'!$D$3:$D$3000,'DATA INPUT'!$A$3:$A$3000,"&gt;="&amp;DATE(2018,11,1),'DATA INPUT'!$A$3:$A$3000,"&lt;"&amp;DATE(2018,11,31),'DATA INPUT'!$F$3:$F$3000,"&lt;&gt;*Exclude*",'DATA INPUT'!$G$3:$G$3000,"&lt;&gt;*School service*"))/(COUNTIFS('DATA INPUT'!$A$3:$A$3000,"&gt;="&amp;DATE(2018,11,1),'DATA INPUT'!$A$3:$A$3000,"&lt;"&amp;DATE(2018,11,31),'DATA INPUT'!$F$3:$F$3000,"&lt;&gt;*Exclude*",'DATA INPUT'!$G$3:$G$3000,"&lt;&gt;*School service*",'DATA INPUT'!$D$3:$D$3000,"&lt;&gt;"&amp;"")),#N/A))</f>
        <v>#N/A</v>
      </c>
      <c r="AW25" s="117" t="e">
        <f t="shared" si="2"/>
        <v>#N/A</v>
      </c>
      <c r="AX25" s="117" t="e">
        <f>IF($L$2="Yes",IFERROR((SUMIFS('DATA INPUT'!$E$3:$E$3000,'DATA INPUT'!$B$3:$B$3000,'Report Tables'!AX$1,'DATA INPUT'!$A$3:$A$3000,"&gt;="&amp;DATE(2018,11,1),'DATA INPUT'!$A$3:$A$3000,"&lt;"&amp;DATE(2018,11,31)))/COUNTIFS('DATA INPUT'!$B$3:$B$3000,'Report Tables'!AX$1,'DATA INPUT'!$A$3:$A$3000,"&gt;="&amp;DATE(2018,11,1),'DATA INPUT'!$A$3:$A$3000,"&lt;"&amp;DATE(2018,11,31)),#N/A),IFERROR((SUMIFS('DATA INPUT'!$E$3:$E$3000,'DATA INPUT'!$B$3:$B$3000,'Report Tables'!AX$1,'DATA INPUT'!$A$3:$A$3000,"&gt;="&amp;DATE(2018,11,1),'DATA INPUT'!$A$3:$A$3000,"&lt;"&amp;DATE(2018,11,31),'DATA INPUT'!$F$3:$F$3000,"&lt;&gt;*Exclude*"))/(COUNTIFS('DATA INPUT'!$B$3:$B$3000,'Report Tables'!AX$1,'DATA INPUT'!$A$3:$A$3000,"&gt;="&amp;DATE(2018,11,1),'DATA INPUT'!$A$3:$A$3000,"&lt;"&amp;DATE(2018,11,31),'DATA INPUT'!$F$3:$F$3000,"&lt;&gt;*Exclude*")),#N/A))</f>
        <v>#N/A</v>
      </c>
      <c r="AY25" s="117" t="e">
        <f>IF($L$2="Yes",IFERROR((SUMIFS('DATA INPUT'!$D$3:$D$3000,'DATA INPUT'!$B$3:$B$3000,'Report Tables'!AX$1,'DATA INPUT'!$A$3:$A$3000,"&gt;="&amp;DATE(2018,11,1),'DATA INPUT'!$A$3:$A$3000,"&lt;"&amp;DATE(2018,11,31)))/COUNTIFS('DATA INPUT'!$B$3:$B$3000,'Report Tables'!AX$1,'DATA INPUT'!$A$3:$A$3000,"&gt;="&amp;DATE(2018,11,1),'DATA INPUT'!$A$3:$A$3000,"&lt;"&amp;DATE(2018,11,31)),#N/A),IFERROR((SUMIFS('DATA INPUT'!$D$3:$D$3000,'DATA INPUT'!$B$3:$B$3000,'Report Tables'!AX$1,'DATA INPUT'!$A$3:$A$3000,"&gt;="&amp;DATE(2018,11,1),'DATA INPUT'!$A$3:$A$3000,"&lt;"&amp;DATE(2018,11,31),'DATA INPUT'!$F$3:$F$3000,"&lt;&gt;*Exclude*"))/(COUNTIFS('DATA INPUT'!$B$3:$B$3000,'Report Tables'!AX$1,'DATA INPUT'!$A$3:$A$3000,"&gt;="&amp;DATE(2018,11,1),'DATA INPUT'!$A$3:$A$3000,"&lt;"&amp;DATE(2018,11,31),'DATA INPUT'!$F$3:$F$3000,"&lt;&gt;*Exclude*")),#N/A))</f>
        <v>#N/A</v>
      </c>
      <c r="AZ25" s="117" t="e">
        <f>IF($L$2="Yes",IFERROR((SUMIFS('DATA INPUT'!$C$3:$C$3000,'DATA INPUT'!$B$3:$B$3000,'Report Tables'!AX$1,'DATA INPUT'!$A$3:$A$3000,"&gt;="&amp;DATE(2018,11,1),'DATA INPUT'!$A$3:$A$3000,"&lt;"&amp;DATE(2018,11,31)))/COUNTIFS('DATA INPUT'!$B$3:$B$3000,'Report Tables'!AX$1,'DATA INPUT'!$A$3:$A$3000,"&gt;="&amp;DATE(2018,11,1),'DATA INPUT'!$A$3:$A$3000,"&lt;"&amp;DATE(2018,11,31)),#N/A),IFERROR((SUMIFS('DATA INPUT'!$C$3:$C$3000,'DATA INPUT'!$B$3:$B$3000,'Report Tables'!AX$1,'DATA INPUT'!$A$3:$A$3000,"&gt;="&amp;DATE(2018,11,1),'DATA INPUT'!$A$3:$A$3000,"&lt;"&amp;DATE(2018,11,31),'DATA INPUT'!$F$3:$F$3000,"&lt;&gt;*Exclude*"))/(COUNTIFS('DATA INPUT'!$B$3:$B$3000,'Report Tables'!AX$1,'DATA INPUT'!$A$3:$A$3000,"&gt;="&amp;DATE(2018,11,1),'DATA INPUT'!$A$3:$A$3000,"&lt;"&amp;DATE(2018,11,31),'DATA INPUT'!$F$3:$F$3000,"&lt;&gt;*Exclude*")),#N/A))</f>
        <v>#N/A</v>
      </c>
    </row>
    <row r="26" spans="1:52" x14ac:dyDescent="0.3">
      <c r="B26" s="8" t="s">
        <v>92</v>
      </c>
      <c r="C26" s="102" t="str">
        <f>IF((SUMIF($A17:$A24,"&lt;&gt;School Service",C17:C24))=0,"",(SUMIF($A17:$A24,"&lt;&gt;School Service",C17:C24)))</f>
        <v/>
      </c>
      <c r="D26" s="102" t="str">
        <f t="shared" ref="D26:L26" si="11">IF((SUMIF($A17:$A24,"&lt;&gt;School Service",D17:D24))=0,"",(SUMIF($A17:$A24,"&lt;&gt;School Service",D17:D24)))</f>
        <v/>
      </c>
      <c r="E26" s="102" t="str">
        <f t="shared" si="11"/>
        <v/>
      </c>
      <c r="F26" s="102" t="str">
        <f t="shared" si="11"/>
        <v/>
      </c>
      <c r="G26" s="102" t="str">
        <f t="shared" si="11"/>
        <v/>
      </c>
      <c r="H26" s="102" t="str">
        <f t="shared" si="11"/>
        <v/>
      </c>
      <c r="I26" s="102" t="str">
        <f t="shared" si="11"/>
        <v/>
      </c>
      <c r="J26" s="102" t="str">
        <f t="shared" si="11"/>
        <v/>
      </c>
      <c r="K26" s="102" t="str">
        <f t="shared" si="11"/>
        <v/>
      </c>
      <c r="L26" s="104" t="str">
        <f t="shared" si="11"/>
        <v/>
      </c>
      <c r="M26" s="107" t="str">
        <f t="shared" si="9"/>
        <v/>
      </c>
      <c r="Y26" s="149"/>
      <c r="Z26" s="149" t="s">
        <v>23</v>
      </c>
      <c r="AA26" s="136" t="e">
        <f>IF($L$2="Yes",IF(SUMIFS('DATA INPUT'!$E$3:$E$3000,'DATA INPUT'!$B$3:$B$3000,'Report Tables'!AA$1,'DATA INPUT'!$A$3:$A$3000,"&gt;="&amp;DATE(2018,12,1),'DATA INPUT'!$A$3:$A$3000,"&lt;"&amp;DATE(2018,12,31))=0,#N/A,(SUMIFS('DATA INPUT'!$E$3:$E$3000,'DATA INPUT'!$B$3:$B$3000,'Report Tables'!AA$1,'DATA INPUT'!$A$3:$A$3000,"&gt;="&amp;DATE(2018,12,1),'DATA INPUT'!$A$3:$A$3000,"&lt;"&amp;DATE(2018,12,31)))),IF(SUMIFS('DATA INPUT'!$E$3:$E$3000,'DATA INPUT'!$B$3:$B$3000,'Report Tables'!AA$1,'DATA INPUT'!$A$3:$A$3000,"&gt;="&amp;DATE(2018,12,1),'DATA INPUT'!$A$3:$A$3000,"&lt;"&amp;DATE(2018,12,31),'DATA INPUT'!$F$3:$F$3000,"&lt;&gt;*Exclude*")=0,#N/A,(SUMIFS('DATA INPUT'!$E$3:$E$3000,'DATA INPUT'!$B$3:$B$3000,'Report Tables'!AA$1,'DATA INPUT'!$A$3:$A$3000,"&gt;="&amp;DATE(2018,12,1),'DATA INPUT'!$A$3:$A$3000,"&lt;"&amp;DATE(2018,12,31),'DATA INPUT'!$F$3:$F$3000,"&lt;&gt;*Exclude*"))))</f>
        <v>#N/A</v>
      </c>
      <c r="AB26" s="136" t="e">
        <f>IF($L$2="Yes",IF(SUMIFS('DATA INPUT'!$E$3:$E$3000,'DATA INPUT'!$B$3:$B$3000,'Report Tables'!AB$1,'DATA INPUT'!$A$3:$A$3000,"&gt;="&amp;DATE(2018,12,1),'DATA INPUT'!$A$3:$A$3000,"&lt;"&amp;DATE(2018,12,31))=0,#N/A,(SUMIFS('DATA INPUT'!$E$3:$E$3000,'DATA INPUT'!$B$3:$B$3000,'Report Tables'!AB$1,'DATA INPUT'!$A$3:$A$3000,"&gt;="&amp;DATE(2018,12,1),'DATA INPUT'!$A$3:$A$3000,"&lt;"&amp;DATE(2018,12,31)))),IF(SUMIFS('DATA INPUT'!$E$3:$E$3000,'DATA INPUT'!$B$3:$B$3000,'Report Tables'!AB$1,'DATA INPUT'!$A$3:$A$3000,"&gt;="&amp;DATE(2018,12,1),'DATA INPUT'!$A$3:$A$3000,"&lt;"&amp;DATE(2018,12,31),'DATA INPUT'!$F$3:$F$3000,"&lt;&gt;*Exclude*")=0,#N/A,(SUMIFS('DATA INPUT'!$E$3:$E$3000,'DATA INPUT'!$B$3:$B$3000,'Report Tables'!AB$1,'DATA INPUT'!$A$3:$A$3000,"&gt;="&amp;DATE(2018,12,1),'DATA INPUT'!$A$3:$A$3000,"&lt;"&amp;DATE(2018,12,31),'DATA INPUT'!$F$3:$F$3000,"&lt;&gt;*Exclude*"))))</f>
        <v>#N/A</v>
      </c>
      <c r="AC26" s="136" t="e">
        <f>IF($L$2="Yes",IF(SUMIFS('DATA INPUT'!$E$3:$E$3000,'DATA INPUT'!$B$3:$B$3000,'Report Tables'!AC$1,'DATA INPUT'!$A$3:$A$3000,"&gt;="&amp;DATE(2018,12,1),'DATA INPUT'!$A$3:$A$3000,"&lt;"&amp;DATE(2018,12,31))=0,#N/A,(SUMIFS('DATA INPUT'!$E$3:$E$3000,'DATA INPUT'!$B$3:$B$3000,'Report Tables'!AC$1,'DATA INPUT'!$A$3:$A$3000,"&gt;="&amp;DATE(2018,12,1),'DATA INPUT'!$A$3:$A$3000,"&lt;"&amp;DATE(2018,12,31)))),IF(SUMIFS('DATA INPUT'!$E$3:$E$3000,'DATA INPUT'!$B$3:$B$3000,'Report Tables'!AC$1,'DATA INPUT'!$A$3:$A$3000,"&gt;="&amp;DATE(2018,12,1),'DATA INPUT'!$A$3:$A$3000,"&lt;"&amp;DATE(2018,12,31),'DATA INPUT'!$F$3:$F$3000,"&lt;&gt;*Exclude*")=0,#N/A,(SUMIFS('DATA INPUT'!$E$3:$E$3000,'DATA INPUT'!$B$3:$B$3000,'Report Tables'!AC$1,'DATA INPUT'!$A$3:$A$3000,"&gt;="&amp;DATE(2018,12,1),'DATA INPUT'!$A$3:$A$3000,"&lt;"&amp;DATE(2018,12,31),'DATA INPUT'!$F$3:$F$3000,"&lt;&gt;*Exclude*"))))</f>
        <v>#N/A</v>
      </c>
      <c r="AD26" s="136" t="e">
        <f>IF($L$2="Yes",IF(SUMIFS('DATA INPUT'!$E$3:$E$3000,'DATA INPUT'!$B$3:$B$3000,'Report Tables'!AD$1,'DATA INPUT'!$A$3:$A$3000,"&gt;="&amp;DATE(2018,12,1),'DATA INPUT'!$A$3:$A$3000,"&lt;"&amp;DATE(2018,12,31))=0,#N/A,(SUMIFS('DATA INPUT'!$E$3:$E$3000,'DATA INPUT'!$B$3:$B$3000,'Report Tables'!AD$1,'DATA INPUT'!$A$3:$A$3000,"&gt;="&amp;DATE(2018,12,1),'DATA INPUT'!$A$3:$A$3000,"&lt;"&amp;DATE(2018,12,31)))),IF(SUMIFS('DATA INPUT'!$E$3:$E$3000,'DATA INPUT'!$B$3:$B$3000,'Report Tables'!AD$1,'DATA INPUT'!$A$3:$A$3000,"&gt;="&amp;DATE(2018,12,1),'DATA INPUT'!$A$3:$A$3000,"&lt;"&amp;DATE(2018,12,31),'DATA INPUT'!$F$3:$F$3000,"&lt;&gt;*Exclude*")=0,#N/A,(SUMIFS('DATA INPUT'!$E$3:$E$3000,'DATA INPUT'!$B$3:$B$3000,'Report Tables'!AD$1,'DATA INPUT'!$A$3:$A$3000,"&gt;="&amp;DATE(2018,12,1),'DATA INPUT'!$A$3:$A$3000,"&lt;"&amp;DATE(2018,12,31),'DATA INPUT'!$F$3:$F$3000,"&lt;&gt;*Exclude*"))))</f>
        <v>#N/A</v>
      </c>
      <c r="AE26" s="136" t="e">
        <f>IF($L$2="Yes",IF(SUMIFS('DATA INPUT'!$E$3:$E$3000,'DATA INPUT'!$B$3:$B$3000,'Report Tables'!AE$1,'DATA INPUT'!$A$3:$A$3000,"&gt;="&amp;DATE(2018,12,1),'DATA INPUT'!$A$3:$A$3000,"&lt;"&amp;DATE(2018,12,31))=0,#N/A,(SUMIFS('DATA INPUT'!$E$3:$E$3000,'DATA INPUT'!$B$3:$B$3000,'Report Tables'!AE$1,'DATA INPUT'!$A$3:$A$3000,"&gt;="&amp;DATE(2018,12,1),'DATA INPUT'!$A$3:$A$3000,"&lt;"&amp;DATE(2018,12,31)))),IF(SUMIFS('DATA INPUT'!$E$3:$E$3000,'DATA INPUT'!$B$3:$B$3000,'Report Tables'!AE$1,'DATA INPUT'!$A$3:$A$3000,"&gt;="&amp;DATE(2018,12,1),'DATA INPUT'!$A$3:$A$3000,"&lt;"&amp;DATE(2018,12,31),'DATA INPUT'!$F$3:$F$3000,"&lt;&gt;*Exclude*")=0,#N/A,(SUMIFS('DATA INPUT'!$E$3:$E$3000,'DATA INPUT'!$B$3:$B$3000,'Report Tables'!AE$1,'DATA INPUT'!$A$3:$A$3000,"&gt;="&amp;DATE(2018,12,1),'DATA INPUT'!$A$3:$A$3000,"&lt;"&amp;DATE(2018,12,31),'DATA INPUT'!$F$3:$F$3000,"&lt;&gt;*Exclude*"))))</f>
        <v>#N/A</v>
      </c>
      <c r="AF26" s="136" t="e">
        <f>IF($L$2="Yes",IF(SUMIFS('DATA INPUT'!$E$3:$E$3000,'DATA INPUT'!$B$3:$B$3000,'Report Tables'!AF$1,'DATA INPUT'!$A$3:$A$3000,"&gt;="&amp;DATE(2018,12,1),'DATA INPUT'!$A$3:$A$3000,"&lt;"&amp;DATE(2018,12,31))=0,#N/A,(SUMIFS('DATA INPUT'!$E$3:$E$3000,'DATA INPUT'!$B$3:$B$3000,'Report Tables'!AF$1,'DATA INPUT'!$A$3:$A$3000,"&gt;="&amp;DATE(2018,12,1),'DATA INPUT'!$A$3:$A$3000,"&lt;"&amp;DATE(2018,12,31)))),IF(SUMIFS('DATA INPUT'!$E$3:$E$3000,'DATA INPUT'!$B$3:$B$3000,'Report Tables'!AF$1,'DATA INPUT'!$A$3:$A$3000,"&gt;="&amp;DATE(2018,12,1),'DATA INPUT'!$A$3:$A$3000,"&lt;"&amp;DATE(2018,12,31),'DATA INPUT'!$F$3:$F$3000,"&lt;&gt;*Exclude*")=0,#N/A,(SUMIFS('DATA INPUT'!$E$3:$E$3000,'DATA INPUT'!$B$3:$B$3000,'Report Tables'!AF$1,'DATA INPUT'!$A$3:$A$3000,"&gt;="&amp;DATE(2018,12,1),'DATA INPUT'!$A$3:$A$3000,"&lt;"&amp;DATE(2018,12,31),'DATA INPUT'!$F$3:$F$3000,"&lt;&gt;*Exclude*"))))</f>
        <v>#N/A</v>
      </c>
      <c r="AG26" s="136" t="e">
        <f>IF($L$2="Yes",IF(SUMIFS('DATA INPUT'!$E$3:$E$3000,'DATA INPUT'!$B$3:$B$3000,'Report Tables'!AG$1,'DATA INPUT'!$A$3:$A$3000,"&gt;="&amp;DATE(2018,12,1),'DATA INPUT'!$A$3:$A$3000,"&lt;"&amp;DATE(2018,12,31))=0,#N/A,(SUMIFS('DATA INPUT'!$E$3:$E$3000,'DATA INPUT'!$B$3:$B$3000,'Report Tables'!AG$1,'DATA INPUT'!$A$3:$A$3000,"&gt;="&amp;DATE(2018,12,1),'DATA INPUT'!$A$3:$A$3000,"&lt;"&amp;DATE(2018,12,31)))),IF(SUMIFS('DATA INPUT'!$E$3:$E$3000,'DATA INPUT'!$B$3:$B$3000,'Report Tables'!AG$1,'DATA INPUT'!$A$3:$A$3000,"&gt;="&amp;DATE(2018,12,1),'DATA INPUT'!$A$3:$A$3000,"&lt;"&amp;DATE(2018,12,31),'DATA INPUT'!$F$3:$F$3000,"&lt;&gt;*Exclude*")=0,#N/A,(SUMIFS('DATA INPUT'!$E$3:$E$3000,'DATA INPUT'!$B$3:$B$3000,'Report Tables'!AG$1,'DATA INPUT'!$A$3:$A$3000,"&gt;="&amp;DATE(2018,12,1),'DATA INPUT'!$A$3:$A$3000,"&lt;"&amp;DATE(2018,12,31),'DATA INPUT'!$F$3:$F$3000,"&lt;&gt;*Exclude*"))))</f>
        <v>#N/A</v>
      </c>
      <c r="AH26" s="136" t="e">
        <f>IF($L$2="Yes",IF(SUMIFS('DATA INPUT'!$E$3:$E$3000,'DATA INPUT'!$B$3:$B$3000,'Report Tables'!AH$1,'DATA INPUT'!$A$3:$A$3000,"&gt;="&amp;DATE(2018,12,1),'DATA INPUT'!$A$3:$A$3000,"&lt;"&amp;DATE(2018,12,31))=0,#N/A,(SUMIFS('DATA INPUT'!$E$3:$E$3000,'DATA INPUT'!$B$3:$B$3000,'Report Tables'!AH$1,'DATA INPUT'!$A$3:$A$3000,"&gt;="&amp;DATE(2018,12,1),'DATA INPUT'!$A$3:$A$3000,"&lt;"&amp;DATE(2018,12,31)))),IF(SUMIFS('DATA INPUT'!$E$3:$E$3000,'DATA INPUT'!$B$3:$B$3000,'Report Tables'!AH$1,'DATA INPUT'!$A$3:$A$3000,"&gt;="&amp;DATE(2018,12,1),'DATA INPUT'!$A$3:$A$3000,"&lt;"&amp;DATE(2018,12,31),'DATA INPUT'!$F$3:$F$3000,"&lt;&gt;*Exclude*")=0,#N/A,(SUMIFS('DATA INPUT'!$E$3:$E$3000,'DATA INPUT'!$B$3:$B$3000,'Report Tables'!AH$1,'DATA INPUT'!$A$3:$A$3000,"&gt;="&amp;DATE(2018,12,1),'DATA INPUT'!$A$3:$A$3000,"&lt;"&amp;DATE(2018,12,31),'DATA INPUT'!$F$3:$F$3000,"&lt;&gt;*Exclude*"))))</f>
        <v>#N/A</v>
      </c>
      <c r="AI26" s="136" t="e">
        <f t="shared" si="0"/>
        <v>#N/A</v>
      </c>
      <c r="AJ26" s="136" t="e">
        <f>IF($L$2="Yes",IF(SUMIFS('DATA INPUT'!$D$3:$D$3000,'DATA INPUT'!$A$3:$A$3000,"&gt;="&amp;DATE(2018,12,1),'DATA INPUT'!$A$3:$A$3000,"&lt;"&amp;DATE(2018,12,31),'DATA INPUT'!$G$3:$G$3000,"&lt;&gt;*School service*")=0,#N/A,(SUMIFS('DATA INPUT'!$D$3:$D$3000,'DATA INPUT'!$A$3:$A$3000,"&gt;="&amp;DATE(2018,12,1),'DATA INPUT'!$A$3:$A$3000,"&lt;"&amp;DATE(2018,12,31),'DATA INPUT'!$G$3:$G$3000,"&lt;&gt;*School service*"))),IF(SUMIFS('DATA INPUT'!$D$3:$D$3000,'DATA INPUT'!$A$3:$A$3000,"&gt;="&amp;DATE(2018,12,1),'DATA INPUT'!$A$3:$A$3000,"&lt;"&amp;DATE(2018,12,31),'DATA INPUT'!$F$3:$F$3000,"&lt;&gt;*Exclude*",'DATA INPUT'!$G$3:$G$3000,"&lt;&gt;*School service*")=0,#N/A,(SUMIFS('DATA INPUT'!$D$3:$D$3000,'DATA INPUT'!$A$3:$A$3000,"&gt;="&amp;DATE(2018,12,1),'DATA INPUT'!$A$3:$A$3000,"&lt;"&amp;DATE(2018,12,31),'DATA INPUT'!$F$3:$F$3000,"&lt;&gt;*Exclude*",'DATA INPUT'!$G$3:$G$3000,"&lt;&gt;*School service*"))))</f>
        <v>#N/A</v>
      </c>
      <c r="AK26" s="136" t="e">
        <f>AI26-AJ26</f>
        <v>#N/A</v>
      </c>
      <c r="AM26" s="117" t="e">
        <f>IF($L$2="Yes",IFERROR((SUMIFS('DATA INPUT'!$E$3:$E$3000,'DATA INPUT'!$B$3:$B$3000,'Report Tables'!AM$1,'DATA INPUT'!$A$3:$A$3000,"&gt;="&amp;DATE(2018,12,1),'DATA INPUT'!$A$3:$A$3000,"&lt;"&amp;DATE(2018,12,31)))/COUNTIFS('DATA INPUT'!$B$3:$B$3000,'Report Tables'!AM$1,'DATA INPUT'!$A$3:$A$3000,"&gt;="&amp;DATE(2018,12,1),'DATA INPUT'!$A$3:$A$3000,"&lt;"&amp;DATE(2018,12,31)),#N/A),IFERROR((SUMIFS('DATA INPUT'!$E$3:$E$3000,'DATA INPUT'!$B$3:$B$3000,'Report Tables'!AM$1,'DATA INPUT'!$A$3:$A$3000,"&gt;="&amp;DATE(2018,12,1),'DATA INPUT'!$A$3:$A$3000,"&lt;"&amp;DATE(2018,12,31),'DATA INPUT'!$F$3:$F$3000,"&lt;&gt;*Exclude*"))/(COUNTIFS('DATA INPUT'!$B$3:$B$3000,'Report Tables'!AM$1,'DATA INPUT'!$A$3:$A$3000,"&gt;="&amp;DATE(2018,12,1),'DATA INPUT'!$A$3:$A$3000,"&lt;"&amp;DATE(2018,12,31),'DATA INPUT'!$F$3:$F$3000,"&lt;&gt;*Exclude*")),#N/A))</f>
        <v>#N/A</v>
      </c>
      <c r="AN26" s="117" t="e">
        <f>IF($L$2="Yes",IFERROR((SUMIFS('DATA INPUT'!$E$3:$E$3000,'DATA INPUT'!$B$3:$B$3000,'Report Tables'!AN$1,'DATA INPUT'!$A$3:$A$3000,"&gt;="&amp;DATE(2018,12,1),'DATA INPUT'!$A$3:$A$3000,"&lt;"&amp;DATE(2018,12,31)))/COUNTIFS('DATA INPUT'!$B$3:$B$3000,'Report Tables'!AN$1,'DATA INPUT'!$A$3:$A$3000,"&gt;="&amp;DATE(2018,12,1),'DATA INPUT'!$A$3:$A$3000,"&lt;"&amp;DATE(2018,12,31)),#N/A),IFERROR((SUMIFS('DATA INPUT'!$E$3:$E$3000,'DATA INPUT'!$B$3:$B$3000,'Report Tables'!AN$1,'DATA INPUT'!$A$3:$A$3000,"&gt;="&amp;DATE(2018,12,1),'DATA INPUT'!$A$3:$A$3000,"&lt;"&amp;DATE(2018,12,31),'DATA INPUT'!$F$3:$F$3000,"&lt;&gt;*Exclude*"))/(COUNTIFS('DATA INPUT'!$B$3:$B$3000,'Report Tables'!AN$1,'DATA INPUT'!$A$3:$A$3000,"&gt;="&amp;DATE(2018,12,1),'DATA INPUT'!$A$3:$A$3000,"&lt;"&amp;DATE(2018,12,31),'DATA INPUT'!$F$3:$F$3000,"&lt;&gt;*Exclude*")),#N/A))</f>
        <v>#N/A</v>
      </c>
      <c r="AO26" s="117" t="e">
        <f>IF($L$2="Yes",IFERROR((SUMIFS('DATA INPUT'!$E$3:$E$3000,'DATA INPUT'!$B$3:$B$3000,'Report Tables'!AO$1,'DATA INPUT'!$A$3:$A$3000,"&gt;="&amp;DATE(2018,12,1),'DATA INPUT'!$A$3:$A$3000,"&lt;"&amp;DATE(2018,12,31)))/COUNTIFS('DATA INPUT'!$B$3:$B$3000,'Report Tables'!AO$1,'DATA INPUT'!$A$3:$A$3000,"&gt;="&amp;DATE(2018,12,1),'DATA INPUT'!$A$3:$A$3000,"&lt;"&amp;DATE(2018,12,31)),#N/A),IFERROR((SUMIFS('DATA INPUT'!$E$3:$E$3000,'DATA INPUT'!$B$3:$B$3000,'Report Tables'!AO$1,'DATA INPUT'!$A$3:$A$3000,"&gt;="&amp;DATE(2018,12,1),'DATA INPUT'!$A$3:$A$3000,"&lt;"&amp;DATE(2018,12,31),'DATA INPUT'!$F$3:$F$3000,"&lt;&gt;*Exclude*"))/(COUNTIFS('DATA INPUT'!$B$3:$B$3000,'Report Tables'!AO$1,'DATA INPUT'!$A$3:$A$3000,"&gt;="&amp;DATE(2018,12,1),'DATA INPUT'!$A$3:$A$3000,"&lt;"&amp;DATE(2018,12,31),'DATA INPUT'!$F$3:$F$3000,"&lt;&gt;*Exclude*")),#N/A))</f>
        <v>#N/A</v>
      </c>
      <c r="AP26" s="117" t="e">
        <f>IF($L$2="Yes",IFERROR((SUMIFS('DATA INPUT'!$E$3:$E$3000,'DATA INPUT'!$B$3:$B$3000,'Report Tables'!AP$1,'DATA INPUT'!$A$3:$A$3000,"&gt;="&amp;DATE(2018,12,1),'DATA INPUT'!$A$3:$A$3000,"&lt;"&amp;DATE(2018,12,31)))/COUNTIFS('DATA INPUT'!$B$3:$B$3000,'Report Tables'!AP$1,'DATA INPUT'!$A$3:$A$3000,"&gt;="&amp;DATE(2018,12,1),'DATA INPUT'!$A$3:$A$3000,"&lt;"&amp;DATE(2018,12,31)),#N/A),IFERROR((SUMIFS('DATA INPUT'!$E$3:$E$3000,'DATA INPUT'!$B$3:$B$3000,'Report Tables'!AP$1,'DATA INPUT'!$A$3:$A$3000,"&gt;="&amp;DATE(2018,12,1),'DATA INPUT'!$A$3:$A$3000,"&lt;"&amp;DATE(2018,12,31),'DATA INPUT'!$F$3:$F$3000,"&lt;&gt;*Exclude*"))/(COUNTIFS('DATA INPUT'!$B$3:$B$3000,'Report Tables'!AP$1,'DATA INPUT'!$A$3:$A$3000,"&gt;="&amp;DATE(2018,12,1),'DATA INPUT'!$A$3:$A$3000,"&lt;"&amp;DATE(2018,12,31),'DATA INPUT'!$F$3:$F$3000,"&lt;&gt;*Exclude*")),#N/A))</f>
        <v>#N/A</v>
      </c>
      <c r="AQ26" s="117" t="e">
        <f>IF($L$2="Yes",IFERROR((SUMIFS('DATA INPUT'!$E$3:$E$3000,'DATA INPUT'!$B$3:$B$3000,'Report Tables'!AQ$1,'DATA INPUT'!$A$3:$A$3000,"&gt;="&amp;DATE(2018,12,1),'DATA INPUT'!$A$3:$A$3000,"&lt;"&amp;DATE(2018,12,31)))/COUNTIFS('DATA INPUT'!$B$3:$B$3000,'Report Tables'!AQ$1,'DATA INPUT'!$A$3:$A$3000,"&gt;="&amp;DATE(2018,12,1),'DATA INPUT'!$A$3:$A$3000,"&lt;"&amp;DATE(2018,12,31)),#N/A),IFERROR((SUMIFS('DATA INPUT'!$E$3:$E$3000,'DATA INPUT'!$B$3:$B$3000,'Report Tables'!AQ$1,'DATA INPUT'!$A$3:$A$3000,"&gt;="&amp;DATE(2018,12,1),'DATA INPUT'!$A$3:$A$3000,"&lt;"&amp;DATE(2018,12,31),'DATA INPUT'!$F$3:$F$3000,"&lt;&gt;*Exclude*"))/(COUNTIFS('DATA INPUT'!$B$3:$B$3000,'Report Tables'!AQ$1,'DATA INPUT'!$A$3:$A$3000,"&gt;="&amp;DATE(2018,12,1),'DATA INPUT'!$A$3:$A$3000,"&lt;"&amp;DATE(2018,12,31),'DATA INPUT'!$F$3:$F$3000,"&lt;&gt;*Exclude*")),#N/A))</f>
        <v>#N/A</v>
      </c>
      <c r="AR26" s="117" t="e">
        <f>IF($L$2="Yes",IFERROR((SUMIFS('DATA INPUT'!$E$3:$E$3000,'DATA INPUT'!$B$3:$B$3000,'Report Tables'!AR$1,'DATA INPUT'!$A$3:$A$3000,"&gt;="&amp;DATE(2018,12,1),'DATA INPUT'!$A$3:$A$3000,"&lt;"&amp;DATE(2018,12,31)))/COUNTIFS('DATA INPUT'!$B$3:$B$3000,'Report Tables'!AR$1,'DATA INPUT'!$A$3:$A$3000,"&gt;="&amp;DATE(2018,12,1),'DATA INPUT'!$A$3:$A$3000,"&lt;"&amp;DATE(2018,12,31)),#N/A),IFERROR((SUMIFS('DATA INPUT'!$E$3:$E$3000,'DATA INPUT'!$B$3:$B$3000,'Report Tables'!AR$1,'DATA INPUT'!$A$3:$A$3000,"&gt;="&amp;DATE(2018,12,1),'DATA INPUT'!$A$3:$A$3000,"&lt;"&amp;DATE(2018,12,31),'DATA INPUT'!$F$3:$F$3000,"&lt;&gt;*Exclude*"))/(COUNTIFS('DATA INPUT'!$B$3:$B$3000,'Report Tables'!AR$1,'DATA INPUT'!$A$3:$A$3000,"&gt;="&amp;DATE(2018,12,1),'DATA INPUT'!$A$3:$A$3000,"&lt;"&amp;DATE(2018,12,31),'DATA INPUT'!$F$3:$F$3000,"&lt;&gt;*Exclude*")),#N/A))</f>
        <v>#N/A</v>
      </c>
      <c r="AS26" s="117" t="e">
        <f>IF($L$2="Yes",IFERROR((SUMIFS('DATA INPUT'!$E$3:$E$3000,'DATA INPUT'!$B$3:$B$3000,'Report Tables'!AS$1,'DATA INPUT'!$A$3:$A$3000,"&gt;="&amp;DATE(2018,12,1),'DATA INPUT'!$A$3:$A$3000,"&lt;"&amp;DATE(2018,12,31)))/COUNTIFS('DATA INPUT'!$B$3:$B$3000,'Report Tables'!AS$1,'DATA INPUT'!$A$3:$A$3000,"&gt;="&amp;DATE(2018,12,1),'DATA INPUT'!$A$3:$A$3000,"&lt;"&amp;DATE(2018,12,31)),#N/A),IFERROR((SUMIFS('DATA INPUT'!$E$3:$E$3000,'DATA INPUT'!$B$3:$B$3000,'Report Tables'!AS$1,'DATA INPUT'!$A$3:$A$3000,"&gt;="&amp;DATE(2018,12,1),'DATA INPUT'!$A$3:$A$3000,"&lt;"&amp;DATE(2018,12,31),'DATA INPUT'!$F$3:$F$3000,"&lt;&gt;*Exclude*"))/(COUNTIFS('DATA INPUT'!$B$3:$B$3000,'Report Tables'!AS$1,'DATA INPUT'!$A$3:$A$3000,"&gt;="&amp;DATE(2018,12,1),'DATA INPUT'!$A$3:$A$3000,"&lt;"&amp;DATE(2018,12,31),'DATA INPUT'!$F$3:$F$3000,"&lt;&gt;*Exclude*")),#N/A))</f>
        <v>#N/A</v>
      </c>
      <c r="AT26" s="117" t="e">
        <f>IF($L$2="Yes",IFERROR((SUMIFS('DATA INPUT'!$E$3:$E$3000,'DATA INPUT'!$B$3:$B$3000,'Report Tables'!AT$1,'DATA INPUT'!$A$3:$A$3000,"&gt;="&amp;DATE(2018,12,1),'DATA INPUT'!$A$3:$A$3000,"&lt;"&amp;DATE(2018,12,31)))/COUNTIFS('DATA INPUT'!$B$3:$B$3000,'Report Tables'!AT$1,'DATA INPUT'!$A$3:$A$3000,"&gt;="&amp;DATE(2018,12,1),'DATA INPUT'!$A$3:$A$3000,"&lt;"&amp;DATE(2018,12,31)),#N/A),IFERROR((SUMIFS('DATA INPUT'!$E$3:$E$3000,'DATA INPUT'!$B$3:$B$3000,'Report Tables'!AT$1,'DATA INPUT'!$A$3:$A$3000,"&gt;="&amp;DATE(2018,12,1),'DATA INPUT'!$A$3:$A$3000,"&lt;"&amp;DATE(2018,12,31),'DATA INPUT'!$F$3:$F$3000,"&lt;&gt;*Exclude*"))/(COUNTIFS('DATA INPUT'!$B$3:$B$3000,'Report Tables'!AT$1,'DATA INPUT'!$A$3:$A$3000,"&gt;="&amp;DATE(2018,12,1),'DATA INPUT'!$A$3:$A$3000,"&lt;"&amp;DATE(2018,12,31),'DATA INPUT'!$F$3:$F$3000,"&lt;&gt;*Exclude*")),#N/A))</f>
        <v>#N/A</v>
      </c>
      <c r="AU26" s="117" t="e">
        <f t="shared" si="1"/>
        <v>#N/A</v>
      </c>
      <c r="AV26" s="117" t="e">
        <f>IF($L$2="Yes",IFERROR((SUMIFS('DATA INPUT'!$D$3:$D$3000,'DATA INPUT'!$A$3:$A$3000,"&gt;="&amp;DATE(2018,12,1),'DATA INPUT'!$A$3:$A$3000,"&lt;"&amp;DATE(2018,12,31),'DATA INPUT'!$G$3:$G$3000,"&lt;&gt;*School service*"))/COUNTIFS('DATA INPUT'!$A$3:$A$3000,"&gt;="&amp;DATE(2018,12,1),'DATA INPUT'!$A$3:$A$3000,"&lt;"&amp;DATE(2018,12,31),'DATA INPUT'!$G$3:$G$3000,"&lt;&gt;*School service*",'DATA INPUT'!$D$3:$D$3000,"&lt;&gt;"&amp;""),#N/A),IFERROR((SUMIFS('DATA INPUT'!$D$3:$D$3000,'DATA INPUT'!$A$3:$A$3000,"&gt;="&amp;DATE(2018,12,1),'DATA INPUT'!$A$3:$A$3000,"&lt;"&amp;DATE(2018,12,31),'DATA INPUT'!$F$3:$F$3000,"&lt;&gt;*Exclude*",'DATA INPUT'!$G$3:$G$3000,"&lt;&gt;*School service*"))/(COUNTIFS('DATA INPUT'!$A$3:$A$3000,"&gt;="&amp;DATE(2018,12,1),'DATA INPUT'!$A$3:$A$3000,"&lt;"&amp;DATE(2018,12,31),'DATA INPUT'!$F$3:$F$3000,"&lt;&gt;*Exclude*",'DATA INPUT'!$G$3:$G$3000,"&lt;&gt;*School service*",'DATA INPUT'!$D$3:$D$3000,"&lt;&gt;"&amp;"")),#N/A))</f>
        <v>#N/A</v>
      </c>
      <c r="AW26" s="117" t="e">
        <f t="shared" si="2"/>
        <v>#N/A</v>
      </c>
      <c r="AX26" s="117" t="e">
        <f>IF($L$2="Yes",IFERROR((SUMIFS('DATA INPUT'!$E$3:$E$3000,'DATA INPUT'!$B$3:$B$3000,'Report Tables'!AX$1,'DATA INPUT'!$A$3:$A$3000,"&gt;="&amp;DATE(2018,12,1),'DATA INPUT'!$A$3:$A$3000,"&lt;"&amp;DATE(2018,12,31)))/COUNTIFS('DATA INPUT'!$B$3:$B$3000,'Report Tables'!AX$1,'DATA INPUT'!$A$3:$A$3000,"&gt;="&amp;DATE(2018,12,1),'DATA INPUT'!$A$3:$A$3000,"&lt;"&amp;DATE(2018,12,31)),#N/A),IFERROR((SUMIFS('DATA INPUT'!$E$3:$E$3000,'DATA INPUT'!$B$3:$B$3000,'Report Tables'!AX$1,'DATA INPUT'!$A$3:$A$3000,"&gt;="&amp;DATE(2018,12,1),'DATA INPUT'!$A$3:$A$3000,"&lt;"&amp;DATE(2018,12,31),'DATA INPUT'!$F$3:$F$3000,"&lt;&gt;*Exclude*"))/(COUNTIFS('DATA INPUT'!$B$3:$B$3000,'Report Tables'!AX$1,'DATA INPUT'!$A$3:$A$3000,"&gt;="&amp;DATE(2018,12,1),'DATA INPUT'!$A$3:$A$3000,"&lt;"&amp;DATE(2018,12,31),'DATA INPUT'!$F$3:$F$3000,"&lt;&gt;*Exclude*")),#N/A))</f>
        <v>#N/A</v>
      </c>
      <c r="AY26" s="117" t="e">
        <f>IF($L$2="Yes",IFERROR((SUMIFS('DATA INPUT'!$D$3:$D$3000,'DATA INPUT'!$B$3:$B$3000,'Report Tables'!AX$1,'DATA INPUT'!$A$3:$A$3000,"&gt;="&amp;DATE(2018,12,1),'DATA INPUT'!$A$3:$A$3000,"&lt;"&amp;DATE(2018,12,31)))/COUNTIFS('DATA INPUT'!$B$3:$B$3000,'Report Tables'!AX$1,'DATA INPUT'!$A$3:$A$3000,"&gt;="&amp;DATE(2018,12,1),'DATA INPUT'!$A$3:$A$3000,"&lt;"&amp;DATE(2018,12,31)),#N/A),IFERROR((SUMIFS('DATA INPUT'!$D$3:$D$3000,'DATA INPUT'!$B$3:$B$3000,'Report Tables'!AX$1,'DATA INPUT'!$A$3:$A$3000,"&gt;="&amp;DATE(2018,12,1),'DATA INPUT'!$A$3:$A$3000,"&lt;"&amp;DATE(2018,12,31),'DATA INPUT'!$F$3:$F$3000,"&lt;&gt;*Exclude*"))/(COUNTIFS('DATA INPUT'!$B$3:$B$3000,'Report Tables'!AX$1,'DATA INPUT'!$A$3:$A$3000,"&gt;="&amp;DATE(2018,12,1),'DATA INPUT'!$A$3:$A$3000,"&lt;"&amp;DATE(2018,12,31),'DATA INPUT'!$F$3:$F$3000,"&lt;&gt;*Exclude*")),#N/A))</f>
        <v>#N/A</v>
      </c>
      <c r="AZ26" s="117" t="e">
        <f>IF($L$2="Yes",IFERROR((SUMIFS('DATA INPUT'!$C$3:$C$3000,'DATA INPUT'!$B$3:$B$3000,'Report Tables'!AX$1,'DATA INPUT'!$A$3:$A$3000,"&gt;="&amp;DATE(2018,12,1),'DATA INPUT'!$A$3:$A$3000,"&lt;"&amp;DATE(2018,12,31)))/COUNTIFS('DATA INPUT'!$B$3:$B$3000,'Report Tables'!AX$1,'DATA INPUT'!$A$3:$A$3000,"&gt;="&amp;DATE(2018,12,1),'DATA INPUT'!$A$3:$A$3000,"&lt;"&amp;DATE(2018,12,31)),#N/A),IFERROR((SUMIFS('DATA INPUT'!$C$3:$C$3000,'DATA INPUT'!$B$3:$B$3000,'Report Tables'!AX$1,'DATA INPUT'!$A$3:$A$3000,"&gt;="&amp;DATE(2018,12,1),'DATA INPUT'!$A$3:$A$3000,"&lt;"&amp;DATE(2018,12,31),'DATA INPUT'!$F$3:$F$3000,"&lt;&gt;*Exclude*"))/(COUNTIFS('DATA INPUT'!$B$3:$B$3000,'Report Tables'!AX$1,'DATA INPUT'!$A$3:$A$3000,"&gt;="&amp;DATE(2018,12,1),'DATA INPUT'!$A$3:$A$3000,"&lt;"&amp;DATE(2018,12,31),'DATA INPUT'!$F$3:$F$3000,"&lt;&gt;*Exclude*")),#N/A))</f>
        <v>#N/A</v>
      </c>
    </row>
    <row r="27" spans="1:52" ht="14.4" customHeight="1" x14ac:dyDescent="0.3">
      <c r="B27" s="7"/>
      <c r="M27" s="6"/>
      <c r="Y27" s="149">
        <v>2019</v>
      </c>
      <c r="Z27" s="149" t="s">
        <v>12</v>
      </c>
      <c r="AA27" s="136" t="e">
        <f>IF($L$2="Yes",IF(SUMIFS('DATA INPUT'!$E$3:$E$3000,'DATA INPUT'!$B$3:$B$3000,'Report Tables'!AA$1,'DATA INPUT'!$A$3:$A$3000,"&gt;="&amp;DATE(2019,1,1),'DATA INPUT'!$A$3:$A$3000,"&lt;"&amp;DATE(2019,1,31))=0,#N/A,(SUMIFS('DATA INPUT'!$E$3:$E$3000,'DATA INPUT'!$B$3:$B$3000,'Report Tables'!AA$1,'DATA INPUT'!$A$3:$A$3000,"&gt;="&amp;DATE(2019,1,1),'DATA INPUT'!$A$3:$A$3000,"&lt;"&amp;DATE(2019,1,31)))),IF(SUMIFS('DATA INPUT'!$E$3:$E$3000,'DATA INPUT'!$B$3:$B$3000,'Report Tables'!AA$1,'DATA INPUT'!$A$3:$A$3000,"&gt;="&amp;DATE(2019,1,1),'DATA INPUT'!$A$3:$A$3000,"&lt;"&amp;DATE(2019,1,31),'DATA INPUT'!$F$3:$F$3000,"&lt;&gt;*Exclude*")=0,#N/A,(SUMIFS('DATA INPUT'!$E$3:$E$3000,'DATA INPUT'!$B$3:$B$3000,'Report Tables'!AA$1,'DATA INPUT'!$A$3:$A$3000,"&gt;="&amp;DATE(2019,1,1),'DATA INPUT'!$A$3:$A$3000,"&lt;"&amp;DATE(2019,1,31),'DATA INPUT'!$F$3:$F$3000,"&lt;&gt;*Exclude*"))))</f>
        <v>#N/A</v>
      </c>
      <c r="AB27" s="136" t="e">
        <f>IF($L$2="Yes",IF(SUMIFS('DATA INPUT'!$E$3:$E$3000,'DATA INPUT'!$B$3:$B$3000,'Report Tables'!AB$1,'DATA INPUT'!$A$3:$A$3000,"&gt;="&amp;DATE(2019,1,1),'DATA INPUT'!$A$3:$A$3000,"&lt;"&amp;DATE(2019,1,31))=0,#N/A,(SUMIFS('DATA INPUT'!$E$3:$E$3000,'DATA INPUT'!$B$3:$B$3000,'Report Tables'!AB$1,'DATA INPUT'!$A$3:$A$3000,"&gt;="&amp;DATE(2019,1,1),'DATA INPUT'!$A$3:$A$3000,"&lt;"&amp;DATE(2019,1,31)))),IF(SUMIFS('DATA INPUT'!$E$3:$E$3000,'DATA INPUT'!$B$3:$B$3000,'Report Tables'!AB$1,'DATA INPUT'!$A$3:$A$3000,"&gt;="&amp;DATE(2019,1,1),'DATA INPUT'!$A$3:$A$3000,"&lt;"&amp;DATE(2019,1,31),'DATA INPUT'!$F$3:$F$3000,"&lt;&gt;*Exclude*")=0,#N/A,(SUMIFS('DATA INPUT'!$E$3:$E$3000,'DATA INPUT'!$B$3:$B$3000,'Report Tables'!AB$1,'DATA INPUT'!$A$3:$A$3000,"&gt;="&amp;DATE(2019,1,1),'DATA INPUT'!$A$3:$A$3000,"&lt;"&amp;DATE(2019,1,31),'DATA INPUT'!$F$3:$F$3000,"&lt;&gt;*Exclude*"))))</f>
        <v>#N/A</v>
      </c>
      <c r="AC27" s="136" t="e">
        <f>IF($L$2="Yes",IF(SUMIFS('DATA INPUT'!$E$3:$E$3000,'DATA INPUT'!$B$3:$B$3000,'Report Tables'!AC$1,'DATA INPUT'!$A$3:$A$3000,"&gt;="&amp;DATE(2019,1,1),'DATA INPUT'!$A$3:$A$3000,"&lt;"&amp;DATE(2019,1,31))=0,#N/A,(SUMIFS('DATA INPUT'!$E$3:$E$3000,'DATA INPUT'!$B$3:$B$3000,'Report Tables'!AC$1,'DATA INPUT'!$A$3:$A$3000,"&gt;="&amp;DATE(2019,1,1),'DATA INPUT'!$A$3:$A$3000,"&lt;"&amp;DATE(2019,1,31)))),IF(SUMIFS('DATA INPUT'!$E$3:$E$3000,'DATA INPUT'!$B$3:$B$3000,'Report Tables'!AC$1,'DATA INPUT'!$A$3:$A$3000,"&gt;="&amp;DATE(2019,1,1),'DATA INPUT'!$A$3:$A$3000,"&lt;"&amp;DATE(2019,1,31),'DATA INPUT'!$F$3:$F$3000,"&lt;&gt;*Exclude*")=0,#N/A,(SUMIFS('DATA INPUT'!$E$3:$E$3000,'DATA INPUT'!$B$3:$B$3000,'Report Tables'!AC$1,'DATA INPUT'!$A$3:$A$3000,"&gt;="&amp;DATE(2019,1,1),'DATA INPUT'!$A$3:$A$3000,"&lt;"&amp;DATE(2019,1,31),'DATA INPUT'!$F$3:$F$3000,"&lt;&gt;*Exclude*"))))</f>
        <v>#N/A</v>
      </c>
      <c r="AD27" s="136" t="e">
        <f>IF($L$2="Yes",IF(SUMIFS('DATA INPUT'!$E$3:$E$3000,'DATA INPUT'!$B$3:$B$3000,'Report Tables'!AD$1,'DATA INPUT'!$A$3:$A$3000,"&gt;="&amp;DATE(2019,1,1),'DATA INPUT'!$A$3:$A$3000,"&lt;"&amp;DATE(2019,1,31))=0,#N/A,(SUMIFS('DATA INPUT'!$E$3:$E$3000,'DATA INPUT'!$B$3:$B$3000,'Report Tables'!AD$1,'DATA INPUT'!$A$3:$A$3000,"&gt;="&amp;DATE(2019,1,1),'DATA INPUT'!$A$3:$A$3000,"&lt;"&amp;DATE(2019,1,31)))),IF(SUMIFS('DATA INPUT'!$E$3:$E$3000,'DATA INPUT'!$B$3:$B$3000,'Report Tables'!AD$1,'DATA INPUT'!$A$3:$A$3000,"&gt;="&amp;DATE(2019,1,1),'DATA INPUT'!$A$3:$A$3000,"&lt;"&amp;DATE(2019,1,31),'DATA INPUT'!$F$3:$F$3000,"&lt;&gt;*Exclude*")=0,#N/A,(SUMIFS('DATA INPUT'!$E$3:$E$3000,'DATA INPUT'!$B$3:$B$3000,'Report Tables'!AD$1,'DATA INPUT'!$A$3:$A$3000,"&gt;="&amp;DATE(2019,1,1),'DATA INPUT'!$A$3:$A$3000,"&lt;"&amp;DATE(2019,1,31),'DATA INPUT'!$F$3:$F$3000,"&lt;&gt;*Exclude*"))))</f>
        <v>#N/A</v>
      </c>
      <c r="AE27" s="136" t="e">
        <f>IF($L$2="Yes",IF(SUMIFS('DATA INPUT'!$E$3:$E$3000,'DATA INPUT'!$B$3:$B$3000,'Report Tables'!AE$1,'DATA INPUT'!$A$3:$A$3000,"&gt;="&amp;DATE(2019,1,1),'DATA INPUT'!$A$3:$A$3000,"&lt;"&amp;DATE(2019,1,31))=0,#N/A,(SUMIFS('DATA INPUT'!$E$3:$E$3000,'DATA INPUT'!$B$3:$B$3000,'Report Tables'!AE$1,'DATA INPUT'!$A$3:$A$3000,"&gt;="&amp;DATE(2019,1,1),'DATA INPUT'!$A$3:$A$3000,"&lt;"&amp;DATE(2019,1,31)))),IF(SUMIFS('DATA INPUT'!$E$3:$E$3000,'DATA INPUT'!$B$3:$B$3000,'Report Tables'!AE$1,'DATA INPUT'!$A$3:$A$3000,"&gt;="&amp;DATE(2019,1,1),'DATA INPUT'!$A$3:$A$3000,"&lt;"&amp;DATE(2019,1,31),'DATA INPUT'!$F$3:$F$3000,"&lt;&gt;*Exclude*")=0,#N/A,(SUMIFS('DATA INPUT'!$E$3:$E$3000,'DATA INPUT'!$B$3:$B$3000,'Report Tables'!AE$1,'DATA INPUT'!$A$3:$A$3000,"&gt;="&amp;DATE(2019,1,1),'DATA INPUT'!$A$3:$A$3000,"&lt;"&amp;DATE(2019,1,31),'DATA INPUT'!$F$3:$F$3000,"&lt;&gt;*Exclude*"))))</f>
        <v>#N/A</v>
      </c>
      <c r="AF27" s="136" t="e">
        <f>IF($L$2="Yes",IF(SUMIFS('DATA INPUT'!$E$3:$E$3000,'DATA INPUT'!$B$3:$B$3000,'Report Tables'!AF$1,'DATA INPUT'!$A$3:$A$3000,"&gt;="&amp;DATE(2019,1,1),'DATA INPUT'!$A$3:$A$3000,"&lt;"&amp;DATE(2019,1,31))=0,#N/A,(SUMIFS('DATA INPUT'!$E$3:$E$3000,'DATA INPUT'!$B$3:$B$3000,'Report Tables'!AF$1,'DATA INPUT'!$A$3:$A$3000,"&gt;="&amp;DATE(2019,1,1),'DATA INPUT'!$A$3:$A$3000,"&lt;"&amp;DATE(2019,1,31)))),IF(SUMIFS('DATA INPUT'!$E$3:$E$3000,'DATA INPUT'!$B$3:$B$3000,'Report Tables'!AF$1,'DATA INPUT'!$A$3:$A$3000,"&gt;="&amp;DATE(2019,1,1),'DATA INPUT'!$A$3:$A$3000,"&lt;"&amp;DATE(2019,1,31),'DATA INPUT'!$F$3:$F$3000,"&lt;&gt;*Exclude*")=0,#N/A,(SUMIFS('DATA INPUT'!$E$3:$E$3000,'DATA INPUT'!$B$3:$B$3000,'Report Tables'!AF$1,'DATA INPUT'!$A$3:$A$3000,"&gt;="&amp;DATE(2019,1,1),'DATA INPUT'!$A$3:$A$3000,"&lt;"&amp;DATE(2019,1,31),'DATA INPUT'!$F$3:$F$3000,"&lt;&gt;*Exclude*"))))</f>
        <v>#N/A</v>
      </c>
      <c r="AG27" s="136" t="e">
        <f>IF($L$2="Yes",IF(SUMIFS('DATA INPUT'!$E$3:$E$3000,'DATA INPUT'!$B$3:$B$3000,'Report Tables'!AG$1,'DATA INPUT'!$A$3:$A$3000,"&gt;="&amp;DATE(2019,1,1),'DATA INPUT'!$A$3:$A$3000,"&lt;"&amp;DATE(2019,1,31))=0,#N/A,(SUMIFS('DATA INPUT'!$E$3:$E$3000,'DATA INPUT'!$B$3:$B$3000,'Report Tables'!AG$1,'DATA INPUT'!$A$3:$A$3000,"&gt;="&amp;DATE(2019,1,1),'DATA INPUT'!$A$3:$A$3000,"&lt;"&amp;DATE(2019,1,31)))),IF(SUMIFS('DATA INPUT'!$E$3:$E$3000,'DATA INPUT'!$B$3:$B$3000,'Report Tables'!AG$1,'DATA INPUT'!$A$3:$A$3000,"&gt;="&amp;DATE(2019,1,1),'DATA INPUT'!$A$3:$A$3000,"&lt;"&amp;DATE(2019,1,31),'DATA INPUT'!$F$3:$F$3000,"&lt;&gt;*Exclude*")=0,#N/A,(SUMIFS('DATA INPUT'!$E$3:$E$3000,'DATA INPUT'!$B$3:$B$3000,'Report Tables'!AG$1,'DATA INPUT'!$A$3:$A$3000,"&gt;="&amp;DATE(2019,1,1),'DATA INPUT'!$A$3:$A$3000,"&lt;"&amp;DATE(2019,1,31),'DATA INPUT'!$F$3:$F$3000,"&lt;&gt;*Exclude*"))))</f>
        <v>#N/A</v>
      </c>
      <c r="AH27" s="136" t="e">
        <f>IF($L$2="Yes",IF(SUMIFS('DATA INPUT'!$E$3:$E$3000,'DATA INPUT'!$B$3:$B$3000,'Report Tables'!AH$1,'DATA INPUT'!$A$3:$A$3000,"&gt;="&amp;DATE(2019,1,1),'DATA INPUT'!$A$3:$A$3000,"&lt;"&amp;DATE(2019,1,31))=0,#N/A,(SUMIFS('DATA INPUT'!$E$3:$E$3000,'DATA INPUT'!$B$3:$B$3000,'Report Tables'!AH$1,'DATA INPUT'!$A$3:$A$3000,"&gt;="&amp;DATE(2019,1,1),'DATA INPUT'!$A$3:$A$3000,"&lt;"&amp;DATE(2019,1,31)))),IF(SUMIFS('DATA INPUT'!$E$3:$E$3000,'DATA INPUT'!$B$3:$B$3000,'Report Tables'!AH$1,'DATA INPUT'!$A$3:$A$3000,"&gt;="&amp;DATE(2019,1,1),'DATA INPUT'!$A$3:$A$3000,"&lt;"&amp;DATE(2019,1,31),'DATA INPUT'!$F$3:$F$3000,"&lt;&gt;*Exclude*")=0,#N/A,(SUMIFS('DATA INPUT'!$E$3:$E$3000,'DATA INPUT'!$B$3:$B$3000,'Report Tables'!AH$1,'DATA INPUT'!$A$3:$A$3000,"&gt;="&amp;DATE(2019,1,1),'DATA INPUT'!$A$3:$A$3000,"&lt;"&amp;DATE(2019,1,31),'DATA INPUT'!$F$3:$F$3000,"&lt;&gt;*Exclude*"))))</f>
        <v>#N/A</v>
      </c>
      <c r="AI27" s="136" t="e">
        <f t="shared" si="0"/>
        <v>#N/A</v>
      </c>
      <c r="AJ27" s="136" t="e">
        <f>IF($L$2="Yes",IF(SUMIFS('DATA INPUT'!$D$3:$D$3000,'DATA INPUT'!$A$3:$A$3000,"&gt;="&amp;DATE(2019,1,1),'DATA INPUT'!$A$3:$A$3000,"&lt;"&amp;DATE(2019,1,31),'DATA INPUT'!$G$3:$G$3000,"&lt;&gt;*School service*")=0,#N/A,(SUMIFS('DATA INPUT'!$D$3:$D$3000,'DATA INPUT'!$A$3:$A$3000,"&gt;="&amp;DATE(2019,1,1),'DATA INPUT'!$A$3:$A$3000,"&lt;"&amp;DATE(2019,1,31),'DATA INPUT'!$G$3:$G$3000,"&lt;&gt;*School service*"))),IF(SUMIFS('DATA INPUT'!$D$3:$D$3000,'DATA INPUT'!$A$3:$A$3000,"&gt;="&amp;DATE(2019,1,1),'DATA INPUT'!$A$3:$A$3000,"&lt;"&amp;DATE(2019,1,31),'DATA INPUT'!$F$3:$F$3000,"&lt;&gt;*Exclude*",'DATA INPUT'!$G$3:$G$3000,"&lt;&gt;*School service*")=0,#N/A,(SUMIFS('DATA INPUT'!$D$3:$D$3000,'DATA INPUT'!$A$3:$A$3000,"&gt;="&amp;DATE(2019,1,1),'DATA INPUT'!$A$3:$A$3000,"&lt;"&amp;DATE(2019,1,31),'DATA INPUT'!$F$3:$F$3000,"&lt;&gt;*Exclude*",'DATA INPUT'!$G$3:$G$3000,"&lt;&gt;*School service*"))))</f>
        <v>#N/A</v>
      </c>
      <c r="AK27" s="136" t="e">
        <f>AI27-AJ27</f>
        <v>#N/A</v>
      </c>
      <c r="AM27" s="117" t="e">
        <f>IF($L$2="Yes",IFERROR((SUMIFS('DATA INPUT'!$E$3:$E$3000,'DATA INPUT'!$B$3:$B$3000,'Report Tables'!AM$1,'DATA INPUT'!$A$3:$A$3000,"&gt;="&amp;DATE(2019,1,1),'DATA INPUT'!$A$3:$A$3000,"&lt;"&amp;DATE(2019,1,31)))/COUNTIFS('DATA INPUT'!$B$3:$B$3000,'Report Tables'!AM$1,'DATA INPUT'!$A$3:$A$3000,"&gt;="&amp;DATE(2019,1,1),'DATA INPUT'!$A$3:$A$3000,"&lt;"&amp;DATE(2019,1,31)),#N/A),IFERROR((SUMIFS('DATA INPUT'!$E$3:$E$3000,'DATA INPUT'!$B$3:$B$3000,'Report Tables'!AM$1,'DATA INPUT'!$A$3:$A$3000,"&gt;="&amp;DATE(2019,1,1),'DATA INPUT'!$A$3:$A$3000,"&lt;"&amp;DATE(2019,1,31),'DATA INPUT'!$F$3:$F$3000,"&lt;&gt;*Exclude*"))/(COUNTIFS('DATA INPUT'!$B$3:$B$3000,'Report Tables'!AM$1,'DATA INPUT'!$A$3:$A$3000,"&gt;="&amp;DATE(2019,1,1),'DATA INPUT'!$A$3:$A$3000,"&lt;"&amp;DATE(2019,1,31),'DATA INPUT'!$F$3:$F$3000,"&lt;&gt;*Exclude*")),#N/A))</f>
        <v>#N/A</v>
      </c>
      <c r="AN27" s="117" t="e">
        <f>IF($L$2="Yes",IFERROR((SUMIFS('DATA INPUT'!$E$3:$E$3000,'DATA INPUT'!$B$3:$B$3000,'Report Tables'!AN$1,'DATA INPUT'!$A$3:$A$3000,"&gt;="&amp;DATE(2019,1,1),'DATA INPUT'!$A$3:$A$3000,"&lt;"&amp;DATE(2019,1,31)))/COUNTIFS('DATA INPUT'!$B$3:$B$3000,'Report Tables'!AN$1,'DATA INPUT'!$A$3:$A$3000,"&gt;="&amp;DATE(2019,1,1),'DATA INPUT'!$A$3:$A$3000,"&lt;"&amp;DATE(2019,1,31)),#N/A),IFERROR((SUMIFS('DATA INPUT'!$E$3:$E$3000,'DATA INPUT'!$B$3:$B$3000,'Report Tables'!AN$1,'DATA INPUT'!$A$3:$A$3000,"&gt;="&amp;DATE(2019,1,1),'DATA INPUT'!$A$3:$A$3000,"&lt;"&amp;DATE(2019,1,31),'DATA INPUT'!$F$3:$F$3000,"&lt;&gt;*Exclude*"))/(COUNTIFS('DATA INPUT'!$B$3:$B$3000,'Report Tables'!AN$1,'DATA INPUT'!$A$3:$A$3000,"&gt;="&amp;DATE(2019,1,1),'DATA INPUT'!$A$3:$A$3000,"&lt;"&amp;DATE(2019,1,31),'DATA INPUT'!$F$3:$F$3000,"&lt;&gt;*Exclude*")),#N/A))</f>
        <v>#N/A</v>
      </c>
      <c r="AO27" s="117" t="e">
        <f>IF($L$2="Yes",IFERROR((SUMIFS('DATA INPUT'!$E$3:$E$3000,'DATA INPUT'!$B$3:$B$3000,'Report Tables'!AO$1,'DATA INPUT'!$A$3:$A$3000,"&gt;="&amp;DATE(2019,1,1),'DATA INPUT'!$A$3:$A$3000,"&lt;"&amp;DATE(2019,1,31)))/COUNTIFS('DATA INPUT'!$B$3:$B$3000,'Report Tables'!AO$1,'DATA INPUT'!$A$3:$A$3000,"&gt;="&amp;DATE(2019,1,1),'DATA INPUT'!$A$3:$A$3000,"&lt;"&amp;DATE(2019,1,31)),#N/A),IFERROR((SUMIFS('DATA INPUT'!$E$3:$E$3000,'DATA INPUT'!$B$3:$B$3000,'Report Tables'!AO$1,'DATA INPUT'!$A$3:$A$3000,"&gt;="&amp;DATE(2019,1,1),'DATA INPUT'!$A$3:$A$3000,"&lt;"&amp;DATE(2019,1,31),'DATA INPUT'!$F$3:$F$3000,"&lt;&gt;*Exclude*"))/(COUNTIFS('DATA INPUT'!$B$3:$B$3000,'Report Tables'!AO$1,'DATA INPUT'!$A$3:$A$3000,"&gt;="&amp;DATE(2019,1,1),'DATA INPUT'!$A$3:$A$3000,"&lt;"&amp;DATE(2019,1,31),'DATA INPUT'!$F$3:$F$3000,"&lt;&gt;*Exclude*")),#N/A))</f>
        <v>#N/A</v>
      </c>
      <c r="AP27" s="117" t="e">
        <f>IF($L$2="Yes",IFERROR((SUMIFS('DATA INPUT'!$E$3:$E$3000,'DATA INPUT'!$B$3:$B$3000,'Report Tables'!AP$1,'DATA INPUT'!$A$3:$A$3000,"&gt;="&amp;DATE(2019,1,1),'DATA INPUT'!$A$3:$A$3000,"&lt;"&amp;DATE(2019,1,31)))/COUNTIFS('DATA INPUT'!$B$3:$B$3000,'Report Tables'!AP$1,'DATA INPUT'!$A$3:$A$3000,"&gt;="&amp;DATE(2019,1,1),'DATA INPUT'!$A$3:$A$3000,"&lt;"&amp;DATE(2019,1,31)),#N/A),IFERROR((SUMIFS('DATA INPUT'!$E$3:$E$3000,'DATA INPUT'!$B$3:$B$3000,'Report Tables'!AP$1,'DATA INPUT'!$A$3:$A$3000,"&gt;="&amp;DATE(2019,1,1),'DATA INPUT'!$A$3:$A$3000,"&lt;"&amp;DATE(2019,1,31),'DATA INPUT'!$F$3:$F$3000,"&lt;&gt;*Exclude*"))/(COUNTIFS('DATA INPUT'!$B$3:$B$3000,'Report Tables'!AP$1,'DATA INPUT'!$A$3:$A$3000,"&gt;="&amp;DATE(2019,1,1),'DATA INPUT'!$A$3:$A$3000,"&lt;"&amp;DATE(2019,1,31),'DATA INPUT'!$F$3:$F$3000,"&lt;&gt;*Exclude*")),#N/A))</f>
        <v>#N/A</v>
      </c>
      <c r="AQ27" s="117" t="e">
        <f>IF($L$2="Yes",IFERROR((SUMIFS('DATA INPUT'!$E$3:$E$3000,'DATA INPUT'!$B$3:$B$3000,'Report Tables'!AQ$1,'DATA INPUT'!$A$3:$A$3000,"&gt;="&amp;DATE(2019,1,1),'DATA INPUT'!$A$3:$A$3000,"&lt;"&amp;DATE(2019,1,31)))/COUNTIFS('DATA INPUT'!$B$3:$B$3000,'Report Tables'!AQ$1,'DATA INPUT'!$A$3:$A$3000,"&gt;="&amp;DATE(2019,1,1),'DATA INPUT'!$A$3:$A$3000,"&lt;"&amp;DATE(2019,1,31)),#N/A),IFERROR((SUMIFS('DATA INPUT'!$E$3:$E$3000,'DATA INPUT'!$B$3:$B$3000,'Report Tables'!AQ$1,'DATA INPUT'!$A$3:$A$3000,"&gt;="&amp;DATE(2019,1,1),'DATA INPUT'!$A$3:$A$3000,"&lt;"&amp;DATE(2019,1,31),'DATA INPUT'!$F$3:$F$3000,"&lt;&gt;*Exclude*"))/(COUNTIFS('DATA INPUT'!$B$3:$B$3000,'Report Tables'!AQ$1,'DATA INPUT'!$A$3:$A$3000,"&gt;="&amp;DATE(2019,1,1),'DATA INPUT'!$A$3:$A$3000,"&lt;"&amp;DATE(2019,1,31),'DATA INPUT'!$F$3:$F$3000,"&lt;&gt;*Exclude*")),#N/A))</f>
        <v>#N/A</v>
      </c>
      <c r="AR27" s="117" t="e">
        <f>IF($L$2="Yes",IFERROR((SUMIFS('DATA INPUT'!$E$3:$E$3000,'DATA INPUT'!$B$3:$B$3000,'Report Tables'!AR$1,'DATA INPUT'!$A$3:$A$3000,"&gt;="&amp;DATE(2019,1,1),'DATA INPUT'!$A$3:$A$3000,"&lt;"&amp;DATE(2019,1,31)))/COUNTIFS('DATA INPUT'!$B$3:$B$3000,'Report Tables'!AR$1,'DATA INPUT'!$A$3:$A$3000,"&gt;="&amp;DATE(2019,1,1),'DATA INPUT'!$A$3:$A$3000,"&lt;"&amp;DATE(2019,1,31)),#N/A),IFERROR((SUMIFS('DATA INPUT'!$E$3:$E$3000,'DATA INPUT'!$B$3:$B$3000,'Report Tables'!AR$1,'DATA INPUT'!$A$3:$A$3000,"&gt;="&amp;DATE(2019,1,1),'DATA INPUT'!$A$3:$A$3000,"&lt;"&amp;DATE(2019,1,31),'DATA INPUT'!$F$3:$F$3000,"&lt;&gt;*Exclude*"))/(COUNTIFS('DATA INPUT'!$B$3:$B$3000,'Report Tables'!AR$1,'DATA INPUT'!$A$3:$A$3000,"&gt;="&amp;DATE(2019,1,1),'DATA INPUT'!$A$3:$A$3000,"&lt;"&amp;DATE(2019,1,31),'DATA INPUT'!$F$3:$F$3000,"&lt;&gt;*Exclude*")),#N/A))</f>
        <v>#N/A</v>
      </c>
      <c r="AS27" s="117" t="e">
        <f>IF($L$2="Yes",IFERROR((SUMIFS('DATA INPUT'!$E$3:$E$3000,'DATA INPUT'!$B$3:$B$3000,'Report Tables'!AS$1,'DATA INPUT'!$A$3:$A$3000,"&gt;="&amp;DATE(2019,1,1),'DATA INPUT'!$A$3:$A$3000,"&lt;"&amp;DATE(2019,1,31)))/COUNTIFS('DATA INPUT'!$B$3:$B$3000,'Report Tables'!AS$1,'DATA INPUT'!$A$3:$A$3000,"&gt;="&amp;DATE(2019,1,1),'DATA INPUT'!$A$3:$A$3000,"&lt;"&amp;DATE(2019,1,31)),#N/A),IFERROR((SUMIFS('DATA INPUT'!$E$3:$E$3000,'DATA INPUT'!$B$3:$B$3000,'Report Tables'!AS$1,'DATA INPUT'!$A$3:$A$3000,"&gt;="&amp;DATE(2019,1,1),'DATA INPUT'!$A$3:$A$3000,"&lt;"&amp;DATE(2019,1,31),'DATA INPUT'!$F$3:$F$3000,"&lt;&gt;*Exclude*"))/(COUNTIFS('DATA INPUT'!$B$3:$B$3000,'Report Tables'!AS$1,'DATA INPUT'!$A$3:$A$3000,"&gt;="&amp;DATE(2019,1,1),'DATA INPUT'!$A$3:$A$3000,"&lt;"&amp;DATE(2019,1,31),'DATA INPUT'!$F$3:$F$3000,"&lt;&gt;*Exclude*")),#N/A))</f>
        <v>#N/A</v>
      </c>
      <c r="AT27" s="117" t="e">
        <f>IF($L$2="Yes",IFERROR((SUMIFS('DATA INPUT'!$E$3:$E$3000,'DATA INPUT'!$B$3:$B$3000,'Report Tables'!AT$1,'DATA INPUT'!$A$3:$A$3000,"&gt;="&amp;DATE(2019,1,1),'DATA INPUT'!$A$3:$A$3000,"&lt;"&amp;DATE(2019,1,31)))/COUNTIFS('DATA INPUT'!$B$3:$B$3000,'Report Tables'!AT$1,'DATA INPUT'!$A$3:$A$3000,"&gt;="&amp;DATE(2019,1,1),'DATA INPUT'!$A$3:$A$3000,"&lt;"&amp;DATE(2019,1,31)),#N/A),IFERROR((SUMIFS('DATA INPUT'!$E$3:$E$3000,'DATA INPUT'!$B$3:$B$3000,'Report Tables'!AT$1,'DATA INPUT'!$A$3:$A$3000,"&gt;="&amp;DATE(2019,1,1),'DATA INPUT'!$A$3:$A$3000,"&lt;"&amp;DATE(2019,1,31),'DATA INPUT'!$F$3:$F$3000,"&lt;&gt;*Exclude*"))/(COUNTIFS('DATA INPUT'!$B$3:$B$3000,'Report Tables'!AT$1,'DATA INPUT'!$A$3:$A$3000,"&gt;="&amp;DATE(2019,1,1),'DATA INPUT'!$A$3:$A$3000,"&lt;"&amp;DATE(2019,1,31),'DATA INPUT'!$F$3:$F$3000,"&lt;&gt;*Exclude*")),#N/A))</f>
        <v>#N/A</v>
      </c>
      <c r="AU27" s="117" t="e">
        <f t="shared" si="1"/>
        <v>#N/A</v>
      </c>
      <c r="AV27" s="117" t="e">
        <f>IF($L$2="Yes",IFERROR((SUMIFS('DATA INPUT'!$D$3:$D$3000,'DATA INPUT'!$A$3:$A$3000,"&gt;="&amp;DATE(2019,1,1),'DATA INPUT'!$A$3:$A$3000,"&lt;"&amp;DATE(2019,1,31),'DATA INPUT'!$G$3:$G$3000,"&lt;&gt;*School service*"))/COUNTIFS('DATA INPUT'!$A$3:$A$3000,"&gt;="&amp;DATE(2019,1,1),'DATA INPUT'!$A$3:$A$3000,"&lt;"&amp;DATE(2019,1,31),'DATA INPUT'!$G$3:$G$3000,"&lt;&gt;*School service*",'DATA INPUT'!$D$3:$D$3000,"&lt;&gt;"&amp;""),#N/A),IFERROR((SUMIFS('DATA INPUT'!$D$3:$D$3000,'DATA INPUT'!$A$3:$A$3000,"&gt;="&amp;DATE(2019,1,1),'DATA INPUT'!$A$3:$A$3000,"&lt;"&amp;DATE(2019,1,31),'DATA INPUT'!$F$3:$F$3000,"&lt;&gt;*Exclude*",'DATA INPUT'!$G$3:$G$3000,"&lt;&gt;*School service*"))/(COUNTIFS('DATA INPUT'!$A$3:$A$3000,"&gt;="&amp;DATE(2019,1,1),'DATA INPUT'!$A$3:$A$3000,"&lt;"&amp;DATE(2019,1,31),'DATA INPUT'!$F$3:$F$3000,"&lt;&gt;*Exclude*",'DATA INPUT'!$G$3:$G$3000,"&lt;&gt;*School service*",'DATA INPUT'!$D$3:$D$3000,"&lt;&gt;"&amp;"")),#N/A))</f>
        <v>#N/A</v>
      </c>
      <c r="AW27" s="117" t="e">
        <f t="shared" si="2"/>
        <v>#N/A</v>
      </c>
      <c r="AX27" s="117" t="e">
        <f>IF($L$2="Yes",IFERROR((SUMIFS('DATA INPUT'!$E$3:$E$3000,'DATA INPUT'!$B$3:$B$3000,'Report Tables'!AX$1,'DATA INPUT'!$A$3:$A$3000,"&gt;="&amp;DATE(2019,1,1),'DATA INPUT'!$A$3:$A$3000,"&lt;"&amp;DATE(2019,1,31)))/COUNTIFS('DATA INPUT'!$B$3:$B$3000,'Report Tables'!AX$1,'DATA INPUT'!$A$3:$A$3000,"&gt;="&amp;DATE(2019,1,1),'DATA INPUT'!$A$3:$A$3000,"&lt;"&amp;DATE(2019,1,31)),#N/A),IFERROR((SUMIFS('DATA INPUT'!$E$3:$E$3000,'DATA INPUT'!$B$3:$B$3000,'Report Tables'!AX$1,'DATA INPUT'!$A$3:$A$3000,"&gt;="&amp;DATE(2019,1,1),'DATA INPUT'!$A$3:$A$3000,"&lt;"&amp;DATE(2019,1,31),'DATA INPUT'!$F$3:$F$3000,"&lt;&gt;*Exclude*"))/(COUNTIFS('DATA INPUT'!$B$3:$B$3000,'Report Tables'!AX$1,'DATA INPUT'!$A$3:$A$3000,"&gt;="&amp;DATE(2019,1,1),'DATA INPUT'!$A$3:$A$3000,"&lt;"&amp;DATE(2019,1,31),'DATA INPUT'!$F$3:$F$3000,"&lt;&gt;*Exclude*")),#N/A))</f>
        <v>#N/A</v>
      </c>
      <c r="AY27" s="117" t="e">
        <f>IF($L$2="Yes",IFERROR((SUMIFS('DATA INPUT'!$D$3:$D$3000,'DATA INPUT'!$B$3:$B$3000,'Report Tables'!AX$1,'DATA INPUT'!$A$3:$A$3000,"&gt;="&amp;DATE(2019,1,1),'DATA INPUT'!$A$3:$A$3000,"&lt;"&amp;DATE(2019,1,31)))/COUNTIFS('DATA INPUT'!$B$3:$B$3000,'Report Tables'!AX$1,'DATA INPUT'!$A$3:$A$3000,"&gt;="&amp;DATE(2019,1,1),'DATA INPUT'!$A$3:$A$3000,"&lt;"&amp;DATE(2019,1,31)),#N/A),IFERROR((SUMIFS('DATA INPUT'!$D$3:$D$3000,'DATA INPUT'!$B$3:$B$3000,'Report Tables'!AX$1,'DATA INPUT'!$A$3:$A$3000,"&gt;="&amp;DATE(2019,1,1),'DATA INPUT'!$A$3:$A$3000,"&lt;"&amp;DATE(2019,1,31),'DATA INPUT'!$F$3:$F$3000,"&lt;&gt;*Exclude*"))/(COUNTIFS('DATA INPUT'!$B$3:$B$3000,'Report Tables'!AX$1,'DATA INPUT'!$A$3:$A$3000,"&gt;="&amp;DATE(2019,1,1),'DATA INPUT'!$A$3:$A$3000,"&lt;"&amp;DATE(2019,1,31),'DATA INPUT'!$F$3:$F$3000,"&lt;&gt;*Exclude*")),#N/A))</f>
        <v>#N/A</v>
      </c>
      <c r="AZ27" s="117" t="e">
        <f>IF($L$2="Yes",IFERROR((SUMIFS('DATA INPUT'!$C$3:$C$3000,'DATA INPUT'!$B$3:$B$3000,'Report Tables'!AX$1,'DATA INPUT'!$A$3:$A$3000,"&gt;="&amp;DATE(2019,1,1),'DATA INPUT'!$A$3:$A$3000,"&lt;"&amp;DATE(2019,1,31)))/COUNTIFS('DATA INPUT'!$B$3:$B$3000,'Report Tables'!AX$1,'DATA INPUT'!$A$3:$A$3000,"&gt;="&amp;DATE(2019,1,1),'DATA INPUT'!$A$3:$A$3000,"&lt;"&amp;DATE(2019,1,31)),#N/A),IFERROR((SUMIFS('DATA INPUT'!$C$3:$C$3000,'DATA INPUT'!$B$3:$B$3000,'Report Tables'!AX$1,'DATA INPUT'!$A$3:$A$3000,"&gt;="&amp;DATE(2019,1,1),'DATA INPUT'!$A$3:$A$3000,"&lt;"&amp;DATE(2019,1,31),'DATA INPUT'!$F$3:$F$3000,"&lt;&gt;*Exclude*"))/(COUNTIFS('DATA INPUT'!$B$3:$B$3000,'Report Tables'!AX$1,'DATA INPUT'!$A$3:$A$3000,"&gt;="&amp;DATE(2019,1,1),'DATA INPUT'!$A$3:$A$3000,"&lt;"&amp;DATE(2019,1,31),'DATA INPUT'!$F$3:$F$3000,"&lt;&gt;*Exclude*")),#N/A))</f>
        <v>#N/A</v>
      </c>
    </row>
    <row r="28" spans="1:52" ht="16.2" thickBot="1" x14ac:dyDescent="0.35">
      <c r="B28" s="63" t="s">
        <v>85</v>
      </c>
      <c r="C28" s="21">
        <f t="shared" ref="C28:K28" si="12">C4</f>
        <v>2017</v>
      </c>
      <c r="D28" s="21">
        <f t="shared" si="12"/>
        <v>2018</v>
      </c>
      <c r="E28" s="21">
        <f t="shared" si="12"/>
        <v>2019</v>
      </c>
      <c r="F28" s="21">
        <f t="shared" si="12"/>
        <v>2020</v>
      </c>
      <c r="G28" s="21">
        <f t="shared" si="12"/>
        <v>2021</v>
      </c>
      <c r="H28" s="21">
        <f t="shared" si="12"/>
        <v>2022</v>
      </c>
      <c r="I28" s="21">
        <f t="shared" si="12"/>
        <v>2023</v>
      </c>
      <c r="J28" s="21">
        <f t="shared" si="12"/>
        <v>2024</v>
      </c>
      <c r="K28" s="67">
        <f t="shared" si="12"/>
        <v>2025</v>
      </c>
      <c r="L28" s="68" t="s">
        <v>11</v>
      </c>
      <c r="Y28" s="149"/>
      <c r="Z28" s="149" t="s">
        <v>13</v>
      </c>
      <c r="AA28" s="136" t="e">
        <f>IF($L$2="Yes",IF(SUMIFS('DATA INPUT'!$E$3:$E$3000,'DATA INPUT'!$B$3:$B$3000,'Report Tables'!AA$1,'DATA INPUT'!$A$3:$A$3000,"&gt;="&amp;DATE(2019,2,1),'DATA INPUT'!$A$3:$A$3000,"&lt;"&amp;DATE(2019,2,31))=0,#N/A,(SUMIFS('DATA INPUT'!$E$3:$E$3000,'DATA INPUT'!$B$3:$B$3000,'Report Tables'!AA$1,'DATA INPUT'!$A$3:$A$3000,"&gt;="&amp;DATE(2019,2,1),'DATA INPUT'!$A$3:$A$3000,"&lt;"&amp;DATE(2019,2,31)))),IF(SUMIFS('DATA INPUT'!$E$3:$E$3000,'DATA INPUT'!$B$3:$B$3000,'Report Tables'!AA$1,'DATA INPUT'!$A$3:$A$3000,"&gt;="&amp;DATE(2019,2,1),'DATA INPUT'!$A$3:$A$3000,"&lt;"&amp;DATE(2019,2,31),'DATA INPUT'!$F$3:$F$3000,"&lt;&gt;*Exclude*")=0,#N/A,(SUMIFS('DATA INPUT'!$E$3:$E$3000,'DATA INPUT'!$B$3:$B$3000,'Report Tables'!AA$1,'DATA INPUT'!$A$3:$A$3000,"&gt;="&amp;DATE(2019,2,1),'DATA INPUT'!$A$3:$A$3000,"&lt;"&amp;DATE(2019,2,31),'DATA INPUT'!$F$3:$F$3000,"&lt;&gt;*Exclude*"))))</f>
        <v>#N/A</v>
      </c>
      <c r="AB28" s="136" t="e">
        <f>IF($L$2="Yes",IF(SUMIFS('DATA INPUT'!$E$3:$E$3000,'DATA INPUT'!$B$3:$B$3000,'Report Tables'!AB$1,'DATA INPUT'!$A$3:$A$3000,"&gt;="&amp;DATE(2019,2,1),'DATA INPUT'!$A$3:$A$3000,"&lt;"&amp;DATE(2019,2,31))=0,#N/A,(SUMIFS('DATA INPUT'!$E$3:$E$3000,'DATA INPUT'!$B$3:$B$3000,'Report Tables'!AB$1,'DATA INPUT'!$A$3:$A$3000,"&gt;="&amp;DATE(2019,2,1),'DATA INPUT'!$A$3:$A$3000,"&lt;"&amp;DATE(2019,2,31)))),IF(SUMIFS('DATA INPUT'!$E$3:$E$3000,'DATA INPUT'!$B$3:$B$3000,'Report Tables'!AB$1,'DATA INPUT'!$A$3:$A$3000,"&gt;="&amp;DATE(2019,2,1),'DATA INPUT'!$A$3:$A$3000,"&lt;"&amp;DATE(2019,2,31),'DATA INPUT'!$F$3:$F$3000,"&lt;&gt;*Exclude*")=0,#N/A,(SUMIFS('DATA INPUT'!$E$3:$E$3000,'DATA INPUT'!$B$3:$B$3000,'Report Tables'!AB$1,'DATA INPUT'!$A$3:$A$3000,"&gt;="&amp;DATE(2019,2,1),'DATA INPUT'!$A$3:$A$3000,"&lt;"&amp;DATE(2019,2,31),'DATA INPUT'!$F$3:$F$3000,"&lt;&gt;*Exclude*"))))</f>
        <v>#N/A</v>
      </c>
      <c r="AC28" s="136" t="e">
        <f>IF($L$2="Yes",IF(SUMIFS('DATA INPUT'!$E$3:$E$3000,'DATA INPUT'!$B$3:$B$3000,'Report Tables'!AC$1,'DATA INPUT'!$A$3:$A$3000,"&gt;="&amp;DATE(2019,2,1),'DATA INPUT'!$A$3:$A$3000,"&lt;"&amp;DATE(2019,2,31))=0,#N/A,(SUMIFS('DATA INPUT'!$E$3:$E$3000,'DATA INPUT'!$B$3:$B$3000,'Report Tables'!AC$1,'DATA INPUT'!$A$3:$A$3000,"&gt;="&amp;DATE(2019,2,1),'DATA INPUT'!$A$3:$A$3000,"&lt;"&amp;DATE(2019,2,31)))),IF(SUMIFS('DATA INPUT'!$E$3:$E$3000,'DATA INPUT'!$B$3:$B$3000,'Report Tables'!AC$1,'DATA INPUT'!$A$3:$A$3000,"&gt;="&amp;DATE(2019,2,1),'DATA INPUT'!$A$3:$A$3000,"&lt;"&amp;DATE(2019,2,31),'DATA INPUT'!$F$3:$F$3000,"&lt;&gt;*Exclude*")=0,#N/A,(SUMIFS('DATA INPUT'!$E$3:$E$3000,'DATA INPUT'!$B$3:$B$3000,'Report Tables'!AC$1,'DATA INPUT'!$A$3:$A$3000,"&gt;="&amp;DATE(2019,2,1),'DATA INPUT'!$A$3:$A$3000,"&lt;"&amp;DATE(2019,2,31),'DATA INPUT'!$F$3:$F$3000,"&lt;&gt;*Exclude*"))))</f>
        <v>#N/A</v>
      </c>
      <c r="AD28" s="136" t="e">
        <f>IF($L$2="Yes",IF(SUMIFS('DATA INPUT'!$E$3:$E$3000,'DATA INPUT'!$B$3:$B$3000,'Report Tables'!AD$1,'DATA INPUT'!$A$3:$A$3000,"&gt;="&amp;DATE(2019,2,1),'DATA INPUT'!$A$3:$A$3000,"&lt;"&amp;DATE(2019,2,31))=0,#N/A,(SUMIFS('DATA INPUT'!$E$3:$E$3000,'DATA INPUT'!$B$3:$B$3000,'Report Tables'!AD$1,'DATA INPUT'!$A$3:$A$3000,"&gt;="&amp;DATE(2019,2,1),'DATA INPUT'!$A$3:$A$3000,"&lt;"&amp;DATE(2019,2,31)))),IF(SUMIFS('DATA INPUT'!$E$3:$E$3000,'DATA INPUT'!$B$3:$B$3000,'Report Tables'!AD$1,'DATA INPUT'!$A$3:$A$3000,"&gt;="&amp;DATE(2019,2,1),'DATA INPUT'!$A$3:$A$3000,"&lt;"&amp;DATE(2019,2,31),'DATA INPUT'!$F$3:$F$3000,"&lt;&gt;*Exclude*")=0,#N/A,(SUMIFS('DATA INPUT'!$E$3:$E$3000,'DATA INPUT'!$B$3:$B$3000,'Report Tables'!AD$1,'DATA INPUT'!$A$3:$A$3000,"&gt;="&amp;DATE(2019,2,1),'DATA INPUT'!$A$3:$A$3000,"&lt;"&amp;DATE(2019,2,31),'DATA INPUT'!$F$3:$F$3000,"&lt;&gt;*Exclude*"))))</f>
        <v>#N/A</v>
      </c>
      <c r="AE28" s="136" t="e">
        <f>IF($L$2="Yes",IF(SUMIFS('DATA INPUT'!$E$3:$E$3000,'DATA INPUT'!$B$3:$B$3000,'Report Tables'!AE$1,'DATA INPUT'!$A$3:$A$3000,"&gt;="&amp;DATE(2019,2,1),'DATA INPUT'!$A$3:$A$3000,"&lt;"&amp;DATE(2019,2,31))=0,#N/A,(SUMIFS('DATA INPUT'!$E$3:$E$3000,'DATA INPUT'!$B$3:$B$3000,'Report Tables'!AE$1,'DATA INPUT'!$A$3:$A$3000,"&gt;="&amp;DATE(2019,2,1),'DATA INPUT'!$A$3:$A$3000,"&lt;"&amp;DATE(2019,2,31)))),IF(SUMIFS('DATA INPUT'!$E$3:$E$3000,'DATA INPUT'!$B$3:$B$3000,'Report Tables'!AE$1,'DATA INPUT'!$A$3:$A$3000,"&gt;="&amp;DATE(2019,2,1),'DATA INPUT'!$A$3:$A$3000,"&lt;"&amp;DATE(2019,2,31),'DATA INPUT'!$F$3:$F$3000,"&lt;&gt;*Exclude*")=0,#N/A,(SUMIFS('DATA INPUT'!$E$3:$E$3000,'DATA INPUT'!$B$3:$B$3000,'Report Tables'!AE$1,'DATA INPUT'!$A$3:$A$3000,"&gt;="&amp;DATE(2019,2,1),'DATA INPUT'!$A$3:$A$3000,"&lt;"&amp;DATE(2019,2,31),'DATA INPUT'!$F$3:$F$3000,"&lt;&gt;*Exclude*"))))</f>
        <v>#N/A</v>
      </c>
      <c r="AF28" s="136" t="e">
        <f>IF($L$2="Yes",IF(SUMIFS('DATA INPUT'!$E$3:$E$3000,'DATA INPUT'!$B$3:$B$3000,'Report Tables'!AF$1,'DATA INPUT'!$A$3:$A$3000,"&gt;="&amp;DATE(2019,2,1),'DATA INPUT'!$A$3:$A$3000,"&lt;"&amp;DATE(2019,2,31))=0,#N/A,(SUMIFS('DATA INPUT'!$E$3:$E$3000,'DATA INPUT'!$B$3:$B$3000,'Report Tables'!AF$1,'DATA INPUT'!$A$3:$A$3000,"&gt;="&amp;DATE(2019,2,1),'DATA INPUT'!$A$3:$A$3000,"&lt;"&amp;DATE(2019,2,31)))),IF(SUMIFS('DATA INPUT'!$E$3:$E$3000,'DATA INPUT'!$B$3:$B$3000,'Report Tables'!AF$1,'DATA INPUT'!$A$3:$A$3000,"&gt;="&amp;DATE(2019,2,1),'DATA INPUT'!$A$3:$A$3000,"&lt;"&amp;DATE(2019,2,31),'DATA INPUT'!$F$3:$F$3000,"&lt;&gt;*Exclude*")=0,#N/A,(SUMIFS('DATA INPUT'!$E$3:$E$3000,'DATA INPUT'!$B$3:$B$3000,'Report Tables'!AF$1,'DATA INPUT'!$A$3:$A$3000,"&gt;="&amp;DATE(2019,2,1),'DATA INPUT'!$A$3:$A$3000,"&lt;"&amp;DATE(2019,2,31),'DATA INPUT'!$F$3:$F$3000,"&lt;&gt;*Exclude*"))))</f>
        <v>#N/A</v>
      </c>
      <c r="AG28" s="136" t="e">
        <f>IF($L$2="Yes",IF(SUMIFS('DATA INPUT'!$E$3:$E$3000,'DATA INPUT'!$B$3:$B$3000,'Report Tables'!AG$1,'DATA INPUT'!$A$3:$A$3000,"&gt;="&amp;DATE(2019,2,1),'DATA INPUT'!$A$3:$A$3000,"&lt;"&amp;DATE(2019,2,31))=0,#N/A,(SUMIFS('DATA INPUT'!$E$3:$E$3000,'DATA INPUT'!$B$3:$B$3000,'Report Tables'!AG$1,'DATA INPUT'!$A$3:$A$3000,"&gt;="&amp;DATE(2019,2,1),'DATA INPUT'!$A$3:$A$3000,"&lt;"&amp;DATE(2019,2,31)))),IF(SUMIFS('DATA INPUT'!$E$3:$E$3000,'DATA INPUT'!$B$3:$B$3000,'Report Tables'!AG$1,'DATA INPUT'!$A$3:$A$3000,"&gt;="&amp;DATE(2019,2,1),'DATA INPUT'!$A$3:$A$3000,"&lt;"&amp;DATE(2019,2,31),'DATA INPUT'!$F$3:$F$3000,"&lt;&gt;*Exclude*")=0,#N/A,(SUMIFS('DATA INPUT'!$E$3:$E$3000,'DATA INPUT'!$B$3:$B$3000,'Report Tables'!AG$1,'DATA INPUT'!$A$3:$A$3000,"&gt;="&amp;DATE(2019,2,1),'DATA INPUT'!$A$3:$A$3000,"&lt;"&amp;DATE(2019,2,31),'DATA INPUT'!$F$3:$F$3000,"&lt;&gt;*Exclude*"))))</f>
        <v>#N/A</v>
      </c>
      <c r="AH28" s="136" t="e">
        <f>IF($L$2="Yes",IF(SUMIFS('DATA INPUT'!$E$3:$E$3000,'DATA INPUT'!$B$3:$B$3000,'Report Tables'!AH$1,'DATA INPUT'!$A$3:$A$3000,"&gt;="&amp;DATE(2019,2,1),'DATA INPUT'!$A$3:$A$3000,"&lt;"&amp;DATE(2019,2,31))=0,#N/A,(SUMIFS('DATA INPUT'!$E$3:$E$3000,'DATA INPUT'!$B$3:$B$3000,'Report Tables'!AH$1,'DATA INPUT'!$A$3:$A$3000,"&gt;="&amp;DATE(2019,2,1),'DATA INPUT'!$A$3:$A$3000,"&lt;"&amp;DATE(2019,2,31)))),IF(SUMIFS('DATA INPUT'!$E$3:$E$3000,'DATA INPUT'!$B$3:$B$3000,'Report Tables'!AH$1,'DATA INPUT'!$A$3:$A$3000,"&gt;="&amp;DATE(2019,2,1),'DATA INPUT'!$A$3:$A$3000,"&lt;"&amp;DATE(2019,2,31),'DATA INPUT'!$F$3:$F$3000,"&lt;&gt;*Exclude*")=0,#N/A,(SUMIFS('DATA INPUT'!$E$3:$E$3000,'DATA INPUT'!$B$3:$B$3000,'Report Tables'!AH$1,'DATA INPUT'!$A$3:$A$3000,"&gt;="&amp;DATE(2019,2,1),'DATA INPUT'!$A$3:$A$3000,"&lt;"&amp;DATE(2019,2,31),'DATA INPUT'!$F$3:$F$3000,"&lt;&gt;*Exclude*"))))</f>
        <v>#N/A</v>
      </c>
      <c r="AI28" s="136" t="e">
        <f t="shared" si="0"/>
        <v>#N/A</v>
      </c>
      <c r="AJ28" s="136" t="e">
        <f>IF($L$2="Yes",IF(SUMIFS('DATA INPUT'!$D$3:$D$3000,'DATA INPUT'!$A$3:$A$3000,"&gt;="&amp;DATE(2019,2,1),'DATA INPUT'!$A$3:$A$3000,"&lt;"&amp;DATE(2019,2,31),'DATA INPUT'!$G$3:$G$3000,"&lt;&gt;*School service*")=0,#N/A,(SUMIFS('DATA INPUT'!$D$3:$D$3000,'DATA INPUT'!$A$3:$A$3000,"&gt;="&amp;DATE(2019,2,1),'DATA INPUT'!$A$3:$A$3000,"&lt;"&amp;DATE(2019,2,31),'DATA INPUT'!$G$3:$G$3000,"&lt;&gt;*School service*"))),IF(SUMIFS('DATA INPUT'!$D$3:$D$3000,'DATA INPUT'!$A$3:$A$3000,"&gt;="&amp;DATE(2019,2,1),'DATA INPUT'!$A$3:$A$3000,"&lt;"&amp;DATE(2019,2,31),'DATA INPUT'!$F$3:$F$3000,"&lt;&gt;*Exclude*",'DATA INPUT'!$G$3:$G$3000,"&lt;&gt;*School service*")=0,#N/A,(SUMIFS('DATA INPUT'!$D$3:$D$3000,'DATA INPUT'!$A$3:$A$3000,"&gt;="&amp;DATE(2019,2,1),'DATA INPUT'!$A$3:$A$3000,"&lt;"&amp;DATE(2019,2,31),'DATA INPUT'!$F$3:$F$3000,"&lt;&gt;*Exclude*",'DATA INPUT'!$G$3:$G$3000,"&lt;&gt;*School service*"))))</f>
        <v>#N/A</v>
      </c>
      <c r="AK28" s="136" t="e">
        <f>AI28-AJ28</f>
        <v>#N/A</v>
      </c>
      <c r="AM28" s="117" t="e">
        <f>IF($L$2="Yes",IFERROR((SUMIFS('DATA INPUT'!$E$3:$E$3000,'DATA INPUT'!$B$3:$B$3000,'Report Tables'!AM$1,'DATA INPUT'!$A$3:$A$3000,"&gt;="&amp;DATE(2019,2,1),'DATA INPUT'!$A$3:$A$3000,"&lt;"&amp;DATE(2019,2,31)))/COUNTIFS('DATA INPUT'!$B$3:$B$3000,'Report Tables'!AM$1,'DATA INPUT'!$A$3:$A$3000,"&gt;="&amp;DATE(2019,2,1),'DATA INPUT'!$A$3:$A$3000,"&lt;"&amp;DATE(2019,2,31)),#N/A),IFERROR((SUMIFS('DATA INPUT'!$E$3:$E$3000,'DATA INPUT'!$B$3:$B$3000,'Report Tables'!AM$1,'DATA INPUT'!$A$3:$A$3000,"&gt;="&amp;DATE(2019,2,1),'DATA INPUT'!$A$3:$A$3000,"&lt;"&amp;DATE(2019,2,31),'DATA INPUT'!$F$3:$F$3000,"&lt;&gt;*Exclude*"))/(COUNTIFS('DATA INPUT'!$B$3:$B$3000,'Report Tables'!AM$1,'DATA INPUT'!$A$3:$A$3000,"&gt;="&amp;DATE(2019,2,1),'DATA INPUT'!$A$3:$A$3000,"&lt;"&amp;DATE(2019,2,31),'DATA INPUT'!$F$3:$F$3000,"&lt;&gt;*Exclude*")),#N/A))</f>
        <v>#N/A</v>
      </c>
      <c r="AN28" s="117" t="e">
        <f>IF($L$2="Yes",IFERROR((SUMIFS('DATA INPUT'!$E$3:$E$3000,'DATA INPUT'!$B$3:$B$3000,'Report Tables'!AN$1,'DATA INPUT'!$A$3:$A$3000,"&gt;="&amp;DATE(2019,2,1),'DATA INPUT'!$A$3:$A$3000,"&lt;"&amp;DATE(2019,2,31)))/COUNTIFS('DATA INPUT'!$B$3:$B$3000,'Report Tables'!AN$1,'DATA INPUT'!$A$3:$A$3000,"&gt;="&amp;DATE(2019,2,1),'DATA INPUT'!$A$3:$A$3000,"&lt;"&amp;DATE(2019,2,31)),#N/A),IFERROR((SUMIFS('DATA INPUT'!$E$3:$E$3000,'DATA INPUT'!$B$3:$B$3000,'Report Tables'!AN$1,'DATA INPUT'!$A$3:$A$3000,"&gt;="&amp;DATE(2019,2,1),'DATA INPUT'!$A$3:$A$3000,"&lt;"&amp;DATE(2019,2,31),'DATA INPUT'!$F$3:$F$3000,"&lt;&gt;*Exclude*"))/(COUNTIFS('DATA INPUT'!$B$3:$B$3000,'Report Tables'!AN$1,'DATA INPUT'!$A$3:$A$3000,"&gt;="&amp;DATE(2019,2,1),'DATA INPUT'!$A$3:$A$3000,"&lt;"&amp;DATE(2019,2,31),'DATA INPUT'!$F$3:$F$3000,"&lt;&gt;*Exclude*")),#N/A))</f>
        <v>#N/A</v>
      </c>
      <c r="AO28" s="117" t="e">
        <f>IF($L$2="Yes",IFERROR((SUMIFS('DATA INPUT'!$E$3:$E$3000,'DATA INPUT'!$B$3:$B$3000,'Report Tables'!AO$1,'DATA INPUT'!$A$3:$A$3000,"&gt;="&amp;DATE(2019,2,1),'DATA INPUT'!$A$3:$A$3000,"&lt;"&amp;DATE(2019,2,31)))/COUNTIFS('DATA INPUT'!$B$3:$B$3000,'Report Tables'!AO$1,'DATA INPUT'!$A$3:$A$3000,"&gt;="&amp;DATE(2019,2,1),'DATA INPUT'!$A$3:$A$3000,"&lt;"&amp;DATE(2019,2,31)),#N/A),IFERROR((SUMIFS('DATA INPUT'!$E$3:$E$3000,'DATA INPUT'!$B$3:$B$3000,'Report Tables'!AO$1,'DATA INPUT'!$A$3:$A$3000,"&gt;="&amp;DATE(2019,2,1),'DATA INPUT'!$A$3:$A$3000,"&lt;"&amp;DATE(2019,2,31),'DATA INPUT'!$F$3:$F$3000,"&lt;&gt;*Exclude*"))/(COUNTIFS('DATA INPUT'!$B$3:$B$3000,'Report Tables'!AO$1,'DATA INPUT'!$A$3:$A$3000,"&gt;="&amp;DATE(2019,2,1),'DATA INPUT'!$A$3:$A$3000,"&lt;"&amp;DATE(2019,2,31),'DATA INPUT'!$F$3:$F$3000,"&lt;&gt;*Exclude*")),#N/A))</f>
        <v>#N/A</v>
      </c>
      <c r="AP28" s="117" t="e">
        <f>IF($L$2="Yes",IFERROR((SUMIFS('DATA INPUT'!$E$3:$E$3000,'DATA INPUT'!$B$3:$B$3000,'Report Tables'!AP$1,'DATA INPUT'!$A$3:$A$3000,"&gt;="&amp;DATE(2019,2,1),'DATA INPUT'!$A$3:$A$3000,"&lt;"&amp;DATE(2019,2,31)))/COUNTIFS('DATA INPUT'!$B$3:$B$3000,'Report Tables'!AP$1,'DATA INPUT'!$A$3:$A$3000,"&gt;="&amp;DATE(2019,2,1),'DATA INPUT'!$A$3:$A$3000,"&lt;"&amp;DATE(2019,2,31)),#N/A),IFERROR((SUMIFS('DATA INPUT'!$E$3:$E$3000,'DATA INPUT'!$B$3:$B$3000,'Report Tables'!AP$1,'DATA INPUT'!$A$3:$A$3000,"&gt;="&amp;DATE(2019,2,1),'DATA INPUT'!$A$3:$A$3000,"&lt;"&amp;DATE(2019,2,31),'DATA INPUT'!$F$3:$F$3000,"&lt;&gt;*Exclude*"))/(COUNTIFS('DATA INPUT'!$B$3:$B$3000,'Report Tables'!AP$1,'DATA INPUT'!$A$3:$A$3000,"&gt;="&amp;DATE(2019,2,1),'DATA INPUT'!$A$3:$A$3000,"&lt;"&amp;DATE(2019,2,31),'DATA INPUT'!$F$3:$F$3000,"&lt;&gt;*Exclude*")),#N/A))</f>
        <v>#N/A</v>
      </c>
      <c r="AQ28" s="117" t="e">
        <f>IF($L$2="Yes",IFERROR((SUMIFS('DATA INPUT'!$E$3:$E$3000,'DATA INPUT'!$B$3:$B$3000,'Report Tables'!AQ$1,'DATA INPUT'!$A$3:$A$3000,"&gt;="&amp;DATE(2019,2,1),'DATA INPUT'!$A$3:$A$3000,"&lt;"&amp;DATE(2019,2,31)))/COUNTIFS('DATA INPUT'!$B$3:$B$3000,'Report Tables'!AQ$1,'DATA INPUT'!$A$3:$A$3000,"&gt;="&amp;DATE(2019,2,1),'DATA INPUT'!$A$3:$A$3000,"&lt;"&amp;DATE(2019,2,31)),#N/A),IFERROR((SUMIFS('DATA INPUT'!$E$3:$E$3000,'DATA INPUT'!$B$3:$B$3000,'Report Tables'!AQ$1,'DATA INPUT'!$A$3:$A$3000,"&gt;="&amp;DATE(2019,2,1),'DATA INPUT'!$A$3:$A$3000,"&lt;"&amp;DATE(2019,2,31),'DATA INPUT'!$F$3:$F$3000,"&lt;&gt;*Exclude*"))/(COUNTIFS('DATA INPUT'!$B$3:$B$3000,'Report Tables'!AQ$1,'DATA INPUT'!$A$3:$A$3000,"&gt;="&amp;DATE(2019,2,1),'DATA INPUT'!$A$3:$A$3000,"&lt;"&amp;DATE(2019,2,31),'DATA INPUT'!$F$3:$F$3000,"&lt;&gt;*Exclude*")),#N/A))</f>
        <v>#N/A</v>
      </c>
      <c r="AR28" s="117" t="e">
        <f>IF($L$2="Yes",IFERROR((SUMIFS('DATA INPUT'!$E$3:$E$3000,'DATA INPUT'!$B$3:$B$3000,'Report Tables'!AR$1,'DATA INPUT'!$A$3:$A$3000,"&gt;="&amp;DATE(2019,2,1),'DATA INPUT'!$A$3:$A$3000,"&lt;"&amp;DATE(2019,2,31)))/COUNTIFS('DATA INPUT'!$B$3:$B$3000,'Report Tables'!AR$1,'DATA INPUT'!$A$3:$A$3000,"&gt;="&amp;DATE(2019,2,1),'DATA INPUT'!$A$3:$A$3000,"&lt;"&amp;DATE(2019,2,31)),#N/A),IFERROR((SUMIFS('DATA INPUT'!$E$3:$E$3000,'DATA INPUT'!$B$3:$B$3000,'Report Tables'!AR$1,'DATA INPUT'!$A$3:$A$3000,"&gt;="&amp;DATE(2019,2,1),'DATA INPUT'!$A$3:$A$3000,"&lt;"&amp;DATE(2019,2,31),'DATA INPUT'!$F$3:$F$3000,"&lt;&gt;*Exclude*"))/(COUNTIFS('DATA INPUT'!$B$3:$B$3000,'Report Tables'!AR$1,'DATA INPUT'!$A$3:$A$3000,"&gt;="&amp;DATE(2019,2,1),'DATA INPUT'!$A$3:$A$3000,"&lt;"&amp;DATE(2019,2,31),'DATA INPUT'!$F$3:$F$3000,"&lt;&gt;*Exclude*")),#N/A))</f>
        <v>#N/A</v>
      </c>
      <c r="AS28" s="117" t="e">
        <f>IF($L$2="Yes",IFERROR((SUMIFS('DATA INPUT'!$E$3:$E$3000,'DATA INPUT'!$B$3:$B$3000,'Report Tables'!AS$1,'DATA INPUT'!$A$3:$A$3000,"&gt;="&amp;DATE(2019,2,1),'DATA INPUT'!$A$3:$A$3000,"&lt;"&amp;DATE(2019,2,31)))/COUNTIFS('DATA INPUT'!$B$3:$B$3000,'Report Tables'!AS$1,'DATA INPUT'!$A$3:$A$3000,"&gt;="&amp;DATE(2019,2,1),'DATA INPUT'!$A$3:$A$3000,"&lt;"&amp;DATE(2019,2,31)),#N/A),IFERROR((SUMIFS('DATA INPUT'!$E$3:$E$3000,'DATA INPUT'!$B$3:$B$3000,'Report Tables'!AS$1,'DATA INPUT'!$A$3:$A$3000,"&gt;="&amp;DATE(2019,2,1),'DATA INPUT'!$A$3:$A$3000,"&lt;"&amp;DATE(2019,2,31),'DATA INPUT'!$F$3:$F$3000,"&lt;&gt;*Exclude*"))/(COUNTIFS('DATA INPUT'!$B$3:$B$3000,'Report Tables'!AS$1,'DATA INPUT'!$A$3:$A$3000,"&gt;="&amp;DATE(2019,2,1),'DATA INPUT'!$A$3:$A$3000,"&lt;"&amp;DATE(2019,2,31),'DATA INPUT'!$F$3:$F$3000,"&lt;&gt;*Exclude*")),#N/A))</f>
        <v>#N/A</v>
      </c>
      <c r="AT28" s="117" t="e">
        <f>IF($L$2="Yes",IFERROR((SUMIFS('DATA INPUT'!$E$3:$E$3000,'DATA INPUT'!$B$3:$B$3000,'Report Tables'!AT$1,'DATA INPUT'!$A$3:$A$3000,"&gt;="&amp;DATE(2019,2,1),'DATA INPUT'!$A$3:$A$3000,"&lt;"&amp;DATE(2019,2,31)))/COUNTIFS('DATA INPUT'!$B$3:$B$3000,'Report Tables'!AT$1,'DATA INPUT'!$A$3:$A$3000,"&gt;="&amp;DATE(2019,2,1),'DATA INPUT'!$A$3:$A$3000,"&lt;"&amp;DATE(2019,2,31)),#N/A),IFERROR((SUMIFS('DATA INPUT'!$E$3:$E$3000,'DATA INPUT'!$B$3:$B$3000,'Report Tables'!AT$1,'DATA INPUT'!$A$3:$A$3000,"&gt;="&amp;DATE(2019,2,1),'DATA INPUT'!$A$3:$A$3000,"&lt;"&amp;DATE(2019,2,31),'DATA INPUT'!$F$3:$F$3000,"&lt;&gt;*Exclude*"))/(COUNTIFS('DATA INPUT'!$B$3:$B$3000,'Report Tables'!AT$1,'DATA INPUT'!$A$3:$A$3000,"&gt;="&amp;DATE(2019,2,1),'DATA INPUT'!$A$3:$A$3000,"&lt;"&amp;DATE(2019,2,31),'DATA INPUT'!$F$3:$F$3000,"&lt;&gt;*Exclude*")),#N/A))</f>
        <v>#N/A</v>
      </c>
      <c r="AU28" s="117" t="e">
        <f t="shared" si="1"/>
        <v>#N/A</v>
      </c>
      <c r="AV28" s="117" t="e">
        <f>IF($L$2="Yes",IFERROR((SUMIFS('DATA INPUT'!$D$3:$D$3000,'DATA INPUT'!$A$3:$A$3000,"&gt;="&amp;DATE(2019,2,1),'DATA INPUT'!$A$3:$A$3000,"&lt;"&amp;DATE(2019,2,31),'DATA INPUT'!$G$3:$G$3000,"&lt;&gt;*School service*"))/COUNTIFS('DATA INPUT'!$A$3:$A$3000,"&gt;="&amp;DATE(2019,2,1),'DATA INPUT'!$A$3:$A$3000,"&lt;"&amp;DATE(2019,2,31),'DATA INPUT'!$G$3:$G$3000,"&lt;&gt;*School service*",'DATA INPUT'!$D$3:$D$3000,"&lt;&gt;"&amp;""),#N/A),IFERROR((SUMIFS('DATA INPUT'!$D$3:$D$3000,'DATA INPUT'!$A$3:$A$3000,"&gt;="&amp;DATE(2019,2,1),'DATA INPUT'!$A$3:$A$3000,"&lt;"&amp;DATE(2019,2,31),'DATA INPUT'!$F$3:$F$3000,"&lt;&gt;*Exclude*",'DATA INPUT'!$G$3:$G$3000,"&lt;&gt;*School service*"))/(COUNTIFS('DATA INPUT'!$A$3:$A$3000,"&gt;="&amp;DATE(2019,2,1),'DATA INPUT'!$A$3:$A$3000,"&lt;"&amp;DATE(2019,2,31),'DATA INPUT'!$F$3:$F$3000,"&lt;&gt;*Exclude*",'DATA INPUT'!$G$3:$G$3000,"&lt;&gt;*School service*",'DATA INPUT'!$D$3:$D$3000,"&lt;&gt;"&amp;"")),#N/A))</f>
        <v>#N/A</v>
      </c>
      <c r="AW28" s="117" t="e">
        <f t="shared" si="2"/>
        <v>#N/A</v>
      </c>
      <c r="AX28" s="117" t="e">
        <f>IF($L$2="Yes",IFERROR((SUMIFS('DATA INPUT'!$E$3:$E$3000,'DATA INPUT'!$B$3:$B$3000,'Report Tables'!AX$1,'DATA INPUT'!$A$3:$A$3000,"&gt;="&amp;DATE(2019,2,1),'DATA INPUT'!$A$3:$A$3000,"&lt;"&amp;DATE(2019,2,31)))/COUNTIFS('DATA INPUT'!$B$3:$B$3000,'Report Tables'!AX$1,'DATA INPUT'!$A$3:$A$3000,"&gt;="&amp;DATE(2019,2,1),'DATA INPUT'!$A$3:$A$3000,"&lt;"&amp;DATE(2019,2,31)),#N/A),IFERROR((SUMIFS('DATA INPUT'!$E$3:$E$3000,'DATA INPUT'!$B$3:$B$3000,'Report Tables'!AX$1,'DATA INPUT'!$A$3:$A$3000,"&gt;="&amp;DATE(2019,2,1),'DATA INPUT'!$A$3:$A$3000,"&lt;"&amp;DATE(2019,2,31),'DATA INPUT'!$F$3:$F$3000,"&lt;&gt;*Exclude*"))/(COUNTIFS('DATA INPUT'!$B$3:$B$3000,'Report Tables'!AX$1,'DATA INPUT'!$A$3:$A$3000,"&gt;="&amp;DATE(2019,2,1),'DATA INPUT'!$A$3:$A$3000,"&lt;"&amp;DATE(2019,2,31),'DATA INPUT'!$F$3:$F$3000,"&lt;&gt;*Exclude*")),#N/A))</f>
        <v>#N/A</v>
      </c>
      <c r="AY28" s="117" t="e">
        <f>IF($L$2="Yes",IFERROR((SUMIFS('DATA INPUT'!$D$3:$D$3000,'DATA INPUT'!$B$3:$B$3000,'Report Tables'!AX$1,'DATA INPUT'!$A$3:$A$3000,"&gt;="&amp;DATE(2019,2,1),'DATA INPUT'!$A$3:$A$3000,"&lt;"&amp;DATE(2019,2,31)))/COUNTIFS('DATA INPUT'!$B$3:$B$3000,'Report Tables'!AX$1,'DATA INPUT'!$A$3:$A$3000,"&gt;="&amp;DATE(2019,2,1),'DATA INPUT'!$A$3:$A$3000,"&lt;"&amp;DATE(2019,2,31)),#N/A),IFERROR((SUMIFS('DATA INPUT'!$D$3:$D$3000,'DATA INPUT'!$B$3:$B$3000,'Report Tables'!AX$1,'DATA INPUT'!$A$3:$A$3000,"&gt;="&amp;DATE(2019,2,1),'DATA INPUT'!$A$3:$A$3000,"&lt;"&amp;DATE(2019,2,31),'DATA INPUT'!$F$3:$F$3000,"&lt;&gt;*Exclude*"))/(COUNTIFS('DATA INPUT'!$B$3:$B$3000,'Report Tables'!AX$1,'DATA INPUT'!$A$3:$A$3000,"&gt;="&amp;DATE(2019,2,1),'DATA INPUT'!$A$3:$A$3000,"&lt;"&amp;DATE(2019,2,31),'DATA INPUT'!$F$3:$F$3000,"&lt;&gt;*Exclude*")),#N/A))</f>
        <v>#N/A</v>
      </c>
      <c r="AZ28" s="117" t="e">
        <f>IF($L$2="Yes",IFERROR((SUMIFS('DATA INPUT'!$C$3:$C$3000,'DATA INPUT'!$B$3:$B$3000,'Report Tables'!AX$1,'DATA INPUT'!$A$3:$A$3000,"&gt;="&amp;DATE(2019,2,1),'DATA INPUT'!$A$3:$A$3000,"&lt;"&amp;DATE(2019,2,31)))/COUNTIFS('DATA INPUT'!$B$3:$B$3000,'Report Tables'!AX$1,'DATA INPUT'!$A$3:$A$3000,"&gt;="&amp;DATE(2019,2,1),'DATA INPUT'!$A$3:$A$3000,"&lt;"&amp;DATE(2019,2,31)),#N/A),IFERROR((SUMIFS('DATA INPUT'!$C$3:$C$3000,'DATA INPUT'!$B$3:$B$3000,'Report Tables'!AX$1,'DATA INPUT'!$A$3:$A$3000,"&gt;="&amp;DATE(2019,2,1),'DATA INPUT'!$A$3:$A$3000,"&lt;"&amp;DATE(2019,2,31),'DATA INPUT'!$F$3:$F$3000,"&lt;&gt;*Exclude*"))/(COUNTIFS('DATA INPUT'!$B$3:$B$3000,'Report Tables'!AX$1,'DATA INPUT'!$A$3:$A$3000,"&gt;="&amp;DATE(2019,2,1),'DATA INPUT'!$A$3:$A$3000,"&lt;"&amp;DATE(2019,2,31),'DATA INPUT'!$F$3:$F$3000,"&lt;&gt;*Exclude*")),#N/A))</f>
        <v>#N/A</v>
      </c>
    </row>
    <row r="29" spans="1:52" x14ac:dyDescent="0.3">
      <c r="A29" s="95" t="e">
        <f>VLOOKUP(B29,Information!$C$8:$F$15,4,FALSE)</f>
        <v>#N/A</v>
      </c>
      <c r="B29" s="46">
        <f>$B$5</f>
        <v>0</v>
      </c>
      <c r="C29" s="57" t="e">
        <f>IF($L$2="Yes",IFERROR((SUMIFS('DATA INPUT'!$E$3:$E$3000,'DATA INPUT'!$A$3:$A$3000,"&gt;="&amp;DATE(2017,1,1),'DATA INPUT'!$A$3:$A$3000,"&lt;="&amp;DATE(2017,12,31),'DATA INPUT'!$B$3:$B$3000,$B29))/(COUNTIFS('DATA INPUT'!$A$3:$A$3000,"&gt;="&amp;DATE(2017,1,1),'DATA INPUT'!$A$3:$A$3000,"&lt;="&amp;DATE(2017,12,31),'DATA INPUT'!$B$3:$B$3000,$B29)),#N/A),IFERROR((SUMIFS('DATA INPUT'!$E$3:$E$3000,'DATA INPUT'!$A$3:$A$3000,"&gt;="&amp;DATE(2017,1,1),'DATA INPUT'!$A$3:$A$3000,"&lt;="&amp;DATE(2017,12,31),'DATA INPUT'!$B$3:$B$3000,$B29,'DATA INPUT'!$F$3:$F$3000,"&lt;&gt;*Exclude*"))/(COUNTIFS('DATA INPUT'!$A$3:$A$3000,"&gt;="&amp;DATE(2017,1,1),'DATA INPUT'!$A$3:$A$3000,"&lt;="&amp;DATE(2017,12,31),'DATA INPUT'!$B$3:$B$3000,$B29,'DATA INPUT'!$F$3:$F$3000,"&lt;&gt;*Exclude*")),#N/A))</f>
        <v>#N/A</v>
      </c>
      <c r="D29" s="57" t="e">
        <f>IF($L$2="Yes",IFERROR((SUMIFS('DATA INPUT'!$E$3:$E$3000,'DATA INPUT'!$A$3:$A$3000,"&gt;="&amp;DATE(2018,1,1),'DATA INPUT'!$A$3:$A$3000,"&lt;="&amp;DATE(2018,12,31),'DATA INPUT'!$B$3:$B$3000,$B29))/(COUNTIFS('DATA INPUT'!$A$3:$A$3000,"&gt;="&amp;DATE(2018,1,1),'DATA INPUT'!$A$3:$A$3000,"&lt;="&amp;DATE(2018,12,31),'DATA INPUT'!$B$3:$B$3000,$B29)),#N/A),IFERROR((SUMIFS('DATA INPUT'!$E$3:$E$3000,'DATA INPUT'!$A$3:$A$3000,"&gt;="&amp;DATE(2018,1,1),'DATA INPUT'!$A$3:$A$3000,"&lt;="&amp;DATE(2018,12,31),'DATA INPUT'!$B$3:$B$3000,$B29,'DATA INPUT'!$F$3:$F$3000,"&lt;&gt;*Exclude*"))/(COUNTIFS('DATA INPUT'!$A$3:$A$3000,"&gt;="&amp;DATE(2018,1,1),'DATA INPUT'!$A$3:$A$3000,"&lt;="&amp;DATE(2018,12,31),'DATA INPUT'!$B$3:$B$3000,$B29,'DATA INPUT'!$F$3:$F$3000,"&lt;&gt;*Exclude*")),#N/A))</f>
        <v>#N/A</v>
      </c>
      <c r="E29" s="57" t="e">
        <f>IF($L$2="Yes",IFERROR((SUMIFS('DATA INPUT'!$E$3:$E$3000,'DATA INPUT'!$A$3:$A$3000,"&gt;="&amp;DATE(2019,1,1),'DATA INPUT'!$A$3:$A$3000,"&lt;="&amp;DATE(2019,12,31),'DATA INPUT'!$B$3:$B$3000,$B29))/(COUNTIFS('DATA INPUT'!$A$3:$A$3000,"&gt;="&amp;DATE(2019,1,1),'DATA INPUT'!$A$3:$A$3000,"&lt;="&amp;DATE(2019,12,31),'DATA INPUT'!$B$3:$B$3000,$B29)),#N/A),IFERROR((SUMIFS('DATA INPUT'!$E$3:$E$3000,'DATA INPUT'!$A$3:$A$3000,"&gt;="&amp;DATE(2019,1,1),'DATA INPUT'!$A$3:$A$3000,"&lt;="&amp;DATE(2019,12,31),'DATA INPUT'!$B$3:$B$3000,$B29,'DATA INPUT'!$F$3:$F$3000,"&lt;&gt;*Exclude*"))/(COUNTIFS('DATA INPUT'!$A$3:$A$3000,"&gt;="&amp;DATE(2019,1,1),'DATA INPUT'!$A$3:$A$3000,"&lt;="&amp;DATE(2019,12,31),'DATA INPUT'!$B$3:$B$3000,$B29,'DATA INPUT'!$F$3:$F$3000,"&lt;&gt;*Exclude*")),#N/A))</f>
        <v>#N/A</v>
      </c>
      <c r="F29" s="57" t="e">
        <f>IF($L$2="Yes",IFERROR((SUMIFS('DATA INPUT'!$E$3:$E$3000,'DATA INPUT'!$A$3:$A$3000,"&gt;="&amp;DATE(2020,1,1),'DATA INPUT'!$A$3:$A$3000,"&lt;="&amp;DATE(2020,12,31),'DATA INPUT'!$B$3:$B$3000,$B29))/(COUNTIFS('DATA INPUT'!$A$3:$A$3000,"&gt;="&amp;DATE(2020,1,1),'DATA INPUT'!$A$3:$A$3000,"&lt;="&amp;DATE(2020,12,31),'DATA INPUT'!$B$3:$B$3000,$B29)),#N/A),IFERROR((SUMIFS('DATA INPUT'!$E$3:$E$3000,'DATA INPUT'!$A$3:$A$3000,"&gt;="&amp;DATE(2020,1,1),'DATA INPUT'!$A$3:$A$3000,"&lt;="&amp;DATE(2020,12,31),'DATA INPUT'!$B$3:$B$3000,$B29,'DATA INPUT'!$F$3:$F$3000,"&lt;&gt;*Exclude*"))/(COUNTIFS('DATA INPUT'!$A$3:$A$3000,"&gt;="&amp;DATE(2020,1,1),'DATA INPUT'!$A$3:$A$3000,"&lt;="&amp;DATE(2020,12,31),'DATA INPUT'!$B$3:$B$3000,$B29,'DATA INPUT'!$F$3:$F$3000,"&lt;&gt;*Exclude*")),#N/A))</f>
        <v>#N/A</v>
      </c>
      <c r="G29" s="57" t="e">
        <f>IF($L$2="Yes",IFERROR((SUMIFS('DATA INPUT'!$E$3:$E$3000,'DATA INPUT'!$A$3:$A$3000,"&gt;="&amp;DATE(2021,1,1),'DATA INPUT'!$A$3:$A$3000,"&lt;="&amp;DATE(2021,12,31),'DATA INPUT'!$B$3:$B$3000,$B29))/(COUNTIFS('DATA INPUT'!$A$3:$A$3000,"&gt;="&amp;DATE(2021,1,1),'DATA INPUT'!$A$3:$A$3000,"&lt;="&amp;DATE(2021,12,31),'DATA INPUT'!$B$3:$B$3000,$B29)),#N/A),IFERROR((SUMIFS('DATA INPUT'!$E$3:$E$3000,'DATA INPUT'!$A$3:$A$3000,"&gt;="&amp;DATE(2021,1,1),'DATA INPUT'!$A$3:$A$3000,"&lt;="&amp;DATE(2021,12,31),'DATA INPUT'!$B$3:$B$3000,$B29,'DATA INPUT'!$F$3:$F$3000,"&lt;&gt;*Exclude*"))/(COUNTIFS('DATA INPUT'!$A$3:$A$3000,"&gt;="&amp;DATE(2021,1,1),'DATA INPUT'!$A$3:$A$3000,"&lt;="&amp;DATE(2021,12,31),'DATA INPUT'!$B$3:$B$3000,$B29,'DATA INPUT'!$F$3:$F$3000,"&lt;&gt;*Exclude*")),#N/A))</f>
        <v>#N/A</v>
      </c>
      <c r="H29" s="57" t="e">
        <f>IF($L$2="Yes",IFERROR((SUMIFS('DATA INPUT'!$E$3:$E$3000,'DATA INPUT'!$A$3:$A$3000,"&gt;="&amp;DATE(2022,1,1),'DATA INPUT'!$A$3:$A$3000,"&lt;="&amp;DATE(2022,12,31),'DATA INPUT'!$B$3:$B$3000,$B29))/(COUNTIFS('DATA INPUT'!$A$3:$A$3000,"&gt;="&amp;DATE(2022,1,1),'DATA INPUT'!$A$3:$A$3000,"&lt;="&amp;DATE(2022,12,31),'DATA INPUT'!$B$3:$B$3000,$B29)),#N/A),IFERROR((SUMIFS('DATA INPUT'!$E$3:$E$3000,'DATA INPUT'!$A$3:$A$3000,"&gt;="&amp;DATE(2022,1,1),'DATA INPUT'!$A$3:$A$3000,"&lt;="&amp;DATE(2022,12,31),'DATA INPUT'!$B$3:$B$3000,$B29,'DATA INPUT'!$F$3:$F$3000,"&lt;&gt;*Exclude*"))/(COUNTIFS('DATA INPUT'!$A$3:$A$3000,"&gt;="&amp;DATE(2022,1,1),'DATA INPUT'!$A$3:$A$3000,"&lt;="&amp;DATE(2022,12,31),'DATA INPUT'!$B$3:$B$3000,$B29,'DATA INPUT'!$F$3:$F$3000,"&lt;&gt;*Exclude*")),#N/A))</f>
        <v>#N/A</v>
      </c>
      <c r="I29" s="57" t="e">
        <f>IF($L$2="Yes",IFERROR((SUMIFS('DATA INPUT'!$E$3:$E$3000,'DATA INPUT'!$A$3:$A$3000,"&gt;="&amp;DATE(2023,1,1),'DATA INPUT'!$A$3:$A$3000,"&lt;="&amp;DATE(2023,12,31),'DATA INPUT'!$B$3:$B$3000,$B29))/(COUNTIFS('DATA INPUT'!$A$3:$A$3000,"&gt;="&amp;DATE(2023,1,1),'DATA INPUT'!$A$3:$A$3000,"&lt;="&amp;DATE(2023,12,31),'DATA INPUT'!$B$3:$B$3000,$B29)),#N/A),IFERROR((SUMIFS('DATA INPUT'!$E$3:$E$3000,'DATA INPUT'!$A$3:$A$3000,"&gt;="&amp;DATE(2023,1,1),'DATA INPUT'!$A$3:$A$3000,"&lt;="&amp;DATE(2023,12,31),'DATA INPUT'!$B$3:$B$3000,$B29,'DATA INPUT'!$F$3:$F$3000,"&lt;&gt;*Exclude*"))/(COUNTIFS('DATA INPUT'!$A$3:$A$3000,"&gt;="&amp;DATE(2023,1,1),'DATA INPUT'!$A$3:$A$3000,"&lt;="&amp;DATE(2023,12,31),'DATA INPUT'!$B$3:$B$3000,$B29,'DATA INPUT'!$F$3:$F$3000,"&lt;&gt;*Exclude*")),#N/A))</f>
        <v>#N/A</v>
      </c>
      <c r="J29" s="57" t="e">
        <f>IF($L$2="Yes",IFERROR((SUMIFS('DATA INPUT'!$E$3:$E$3000,'DATA INPUT'!$A$3:$A$3000,"&gt;="&amp;DATE(2024,1,1),'DATA INPUT'!$A$3:$A$3000,"&lt;="&amp;DATE(2024,12,31),'DATA INPUT'!$B$3:$B$3000,$B29))/(COUNTIFS('DATA INPUT'!$A$3:$A$3000,"&gt;="&amp;DATE(2024,1,1),'DATA INPUT'!$A$3:$A$3000,"&lt;="&amp;DATE(2024,12,31),'DATA INPUT'!$B$3:$B$3000,$B29)),#N/A),IFERROR((SUMIFS('DATA INPUT'!$E$3:$E$3000,'DATA INPUT'!$A$3:$A$3000,"&gt;="&amp;DATE(2024,1,1),'DATA INPUT'!$A$3:$A$3000,"&lt;="&amp;DATE(2024,12,31),'DATA INPUT'!$B$3:$B$3000,$B29,'DATA INPUT'!$F$3:$F$3000,"&lt;&gt;*Exclude*"))/(COUNTIFS('DATA INPUT'!$A$3:$A$3000,"&gt;="&amp;DATE(2024,1,1),'DATA INPUT'!$A$3:$A$3000,"&lt;="&amp;DATE(2024,12,31),'DATA INPUT'!$B$3:$B$3000,$B29,'DATA INPUT'!$F$3:$F$3000,"&lt;&gt;*Exclude*")),#N/A))</f>
        <v>#N/A</v>
      </c>
      <c r="K29" s="57" t="e">
        <f>IF($L$2="Yes",IFERROR((SUMIFS('DATA INPUT'!$E$3:$E$3000,'DATA INPUT'!$A$3:$A$3000,"&gt;="&amp;DATE(2025,1,1),'DATA INPUT'!$A$3:$A$3000,"&lt;="&amp;DATE(2025,12,31),'DATA INPUT'!$B$3:$B$3000,$B29))/(COUNTIFS('DATA INPUT'!$A$3:$A$3000,"&gt;="&amp;DATE(2025,1,1),'DATA INPUT'!$A$3:$A$3000,"&lt;="&amp;DATE(2025,12,31),'DATA INPUT'!$B$3:$B$3000,$B29)),#N/A),IFERROR((SUMIFS('DATA INPUT'!$E$3:$E$3000,'DATA INPUT'!$A$3:$A$3000,"&gt;="&amp;DATE(2025,1,1),'DATA INPUT'!$A$3:$A$3000,"&lt;="&amp;DATE(2025,12,31),'DATA INPUT'!$B$3:$B$3000,$B29,'DATA INPUT'!$F$3:$F$3000,"&lt;&gt;*Exclude*"))/(COUNTIFS('DATA INPUT'!$A$3:$A$3000,"&gt;="&amp;DATE(2025,1,1),'DATA INPUT'!$A$3:$A$3000,"&lt;="&amp;DATE(2025,12,31),'DATA INPUT'!$B$3:$B$3000,$B29,'DATA INPUT'!$F$3:$F$3000,"&lt;&gt;*Exclude*")),#N/A))</f>
        <v>#N/A</v>
      </c>
      <c r="L29" s="69" t="str">
        <f t="shared" ref="L29:L36" si="13">IFERROR(SUMIFS(C29:K29,C29:K29,"&lt;&gt;#DIV/0!",C29:K29,"&lt;&gt;#n/a")/(COUNTIF(C29:K29,"&gt;0")),"")</f>
        <v/>
      </c>
      <c r="Y29" s="149"/>
      <c r="Z29" s="149" t="s">
        <v>14</v>
      </c>
      <c r="AA29" s="136" t="e">
        <f>IF($L$2="Yes",IF(SUMIFS('DATA INPUT'!$E$3:$E$3000,'DATA INPUT'!$B$3:$B$3000,'Report Tables'!AA$1,'DATA INPUT'!$A$3:$A$3000,"&gt;="&amp;DATE(2019,3,1),'DATA INPUT'!$A$3:$A$3000,"&lt;"&amp;DATE(2019,3,31))=0,#N/A,(SUMIFS('DATA INPUT'!$E$3:$E$3000,'DATA INPUT'!$B$3:$B$3000,'Report Tables'!AA$1,'DATA INPUT'!$A$3:$A$3000,"&gt;="&amp;DATE(2019,3,1),'DATA INPUT'!$A$3:$A$3000,"&lt;"&amp;DATE(2019,3,31)))),IF(SUMIFS('DATA INPUT'!$E$3:$E$3000,'DATA INPUT'!$B$3:$B$3000,'Report Tables'!AA$1,'DATA INPUT'!$A$3:$A$3000,"&gt;="&amp;DATE(2019,3,1),'DATA INPUT'!$A$3:$A$3000,"&lt;"&amp;DATE(2019,3,31),'DATA INPUT'!$F$3:$F$3000,"&lt;&gt;*Exclude*")=0,#N/A,(SUMIFS('DATA INPUT'!$E$3:$E$3000,'DATA INPUT'!$B$3:$B$3000,'Report Tables'!AA$1,'DATA INPUT'!$A$3:$A$3000,"&gt;="&amp;DATE(2019,3,1),'DATA INPUT'!$A$3:$A$3000,"&lt;"&amp;DATE(2019,3,31),'DATA INPUT'!$F$3:$F$3000,"&lt;&gt;*Exclude*"))))</f>
        <v>#N/A</v>
      </c>
      <c r="AB29" s="136" t="e">
        <f>IF($L$2="Yes",IF(SUMIFS('DATA INPUT'!$E$3:$E$3000,'DATA INPUT'!$B$3:$B$3000,'Report Tables'!AB$1,'DATA INPUT'!$A$3:$A$3000,"&gt;="&amp;DATE(2019,3,1),'DATA INPUT'!$A$3:$A$3000,"&lt;"&amp;DATE(2019,3,31))=0,#N/A,(SUMIFS('DATA INPUT'!$E$3:$E$3000,'DATA INPUT'!$B$3:$B$3000,'Report Tables'!AB$1,'DATA INPUT'!$A$3:$A$3000,"&gt;="&amp;DATE(2019,3,1),'DATA INPUT'!$A$3:$A$3000,"&lt;"&amp;DATE(2019,3,31)))),IF(SUMIFS('DATA INPUT'!$E$3:$E$3000,'DATA INPUT'!$B$3:$B$3000,'Report Tables'!AB$1,'DATA INPUT'!$A$3:$A$3000,"&gt;="&amp;DATE(2019,3,1),'DATA INPUT'!$A$3:$A$3000,"&lt;"&amp;DATE(2019,3,31),'DATA INPUT'!$F$3:$F$3000,"&lt;&gt;*Exclude*")=0,#N/A,(SUMIFS('DATA INPUT'!$E$3:$E$3000,'DATA INPUT'!$B$3:$B$3000,'Report Tables'!AB$1,'DATA INPUT'!$A$3:$A$3000,"&gt;="&amp;DATE(2019,3,1),'DATA INPUT'!$A$3:$A$3000,"&lt;"&amp;DATE(2019,3,31),'DATA INPUT'!$F$3:$F$3000,"&lt;&gt;*Exclude*"))))</f>
        <v>#N/A</v>
      </c>
      <c r="AC29" s="136" t="e">
        <f>IF($L$2="Yes",IF(SUMIFS('DATA INPUT'!$E$3:$E$3000,'DATA INPUT'!$B$3:$B$3000,'Report Tables'!AC$1,'DATA INPUT'!$A$3:$A$3000,"&gt;="&amp;DATE(2019,3,1),'DATA INPUT'!$A$3:$A$3000,"&lt;"&amp;DATE(2019,3,31))=0,#N/A,(SUMIFS('DATA INPUT'!$E$3:$E$3000,'DATA INPUT'!$B$3:$B$3000,'Report Tables'!AC$1,'DATA INPUT'!$A$3:$A$3000,"&gt;="&amp;DATE(2019,3,1),'DATA INPUT'!$A$3:$A$3000,"&lt;"&amp;DATE(2019,3,31)))),IF(SUMIFS('DATA INPUT'!$E$3:$E$3000,'DATA INPUT'!$B$3:$B$3000,'Report Tables'!AC$1,'DATA INPUT'!$A$3:$A$3000,"&gt;="&amp;DATE(2019,3,1),'DATA INPUT'!$A$3:$A$3000,"&lt;"&amp;DATE(2019,3,31),'DATA INPUT'!$F$3:$F$3000,"&lt;&gt;*Exclude*")=0,#N/A,(SUMIFS('DATA INPUT'!$E$3:$E$3000,'DATA INPUT'!$B$3:$B$3000,'Report Tables'!AC$1,'DATA INPUT'!$A$3:$A$3000,"&gt;="&amp;DATE(2019,3,1),'DATA INPUT'!$A$3:$A$3000,"&lt;"&amp;DATE(2019,3,31),'DATA INPUT'!$F$3:$F$3000,"&lt;&gt;*Exclude*"))))</f>
        <v>#N/A</v>
      </c>
      <c r="AD29" s="136" t="e">
        <f>IF($L$2="Yes",IF(SUMIFS('DATA INPUT'!$E$3:$E$3000,'DATA INPUT'!$B$3:$B$3000,'Report Tables'!AD$1,'DATA INPUT'!$A$3:$A$3000,"&gt;="&amp;DATE(2019,3,1),'DATA INPUT'!$A$3:$A$3000,"&lt;"&amp;DATE(2019,3,31))=0,#N/A,(SUMIFS('DATA INPUT'!$E$3:$E$3000,'DATA INPUT'!$B$3:$B$3000,'Report Tables'!AD$1,'DATA INPUT'!$A$3:$A$3000,"&gt;="&amp;DATE(2019,3,1),'DATA INPUT'!$A$3:$A$3000,"&lt;"&amp;DATE(2019,3,31)))),IF(SUMIFS('DATA INPUT'!$E$3:$E$3000,'DATA INPUT'!$B$3:$B$3000,'Report Tables'!AD$1,'DATA INPUT'!$A$3:$A$3000,"&gt;="&amp;DATE(2019,3,1),'DATA INPUT'!$A$3:$A$3000,"&lt;"&amp;DATE(2019,3,31),'DATA INPUT'!$F$3:$F$3000,"&lt;&gt;*Exclude*")=0,#N/A,(SUMIFS('DATA INPUT'!$E$3:$E$3000,'DATA INPUT'!$B$3:$B$3000,'Report Tables'!AD$1,'DATA INPUT'!$A$3:$A$3000,"&gt;="&amp;DATE(2019,3,1),'DATA INPUT'!$A$3:$A$3000,"&lt;"&amp;DATE(2019,3,31),'DATA INPUT'!$F$3:$F$3000,"&lt;&gt;*Exclude*"))))</f>
        <v>#N/A</v>
      </c>
      <c r="AE29" s="136" t="e">
        <f>IF($L$2="Yes",IF(SUMIFS('DATA INPUT'!$E$3:$E$3000,'DATA INPUT'!$B$3:$B$3000,'Report Tables'!AE$1,'DATA INPUT'!$A$3:$A$3000,"&gt;="&amp;DATE(2019,3,1),'DATA INPUT'!$A$3:$A$3000,"&lt;"&amp;DATE(2019,3,31))=0,#N/A,(SUMIFS('DATA INPUT'!$E$3:$E$3000,'DATA INPUT'!$B$3:$B$3000,'Report Tables'!AE$1,'DATA INPUT'!$A$3:$A$3000,"&gt;="&amp;DATE(2019,3,1),'DATA INPUT'!$A$3:$A$3000,"&lt;"&amp;DATE(2019,3,31)))),IF(SUMIFS('DATA INPUT'!$E$3:$E$3000,'DATA INPUT'!$B$3:$B$3000,'Report Tables'!AE$1,'DATA INPUT'!$A$3:$A$3000,"&gt;="&amp;DATE(2019,3,1),'DATA INPUT'!$A$3:$A$3000,"&lt;"&amp;DATE(2019,3,31),'DATA INPUT'!$F$3:$F$3000,"&lt;&gt;*Exclude*")=0,#N/A,(SUMIFS('DATA INPUT'!$E$3:$E$3000,'DATA INPUT'!$B$3:$B$3000,'Report Tables'!AE$1,'DATA INPUT'!$A$3:$A$3000,"&gt;="&amp;DATE(2019,3,1),'DATA INPUT'!$A$3:$A$3000,"&lt;"&amp;DATE(2019,3,31),'DATA INPUT'!$F$3:$F$3000,"&lt;&gt;*Exclude*"))))</f>
        <v>#N/A</v>
      </c>
      <c r="AF29" s="136" t="e">
        <f>IF($L$2="Yes",IF(SUMIFS('DATA INPUT'!$E$3:$E$3000,'DATA INPUT'!$B$3:$B$3000,'Report Tables'!AF$1,'DATA INPUT'!$A$3:$A$3000,"&gt;="&amp;DATE(2019,3,1),'DATA INPUT'!$A$3:$A$3000,"&lt;"&amp;DATE(2019,3,31))=0,#N/A,(SUMIFS('DATA INPUT'!$E$3:$E$3000,'DATA INPUT'!$B$3:$B$3000,'Report Tables'!AF$1,'DATA INPUT'!$A$3:$A$3000,"&gt;="&amp;DATE(2019,3,1),'DATA INPUT'!$A$3:$A$3000,"&lt;"&amp;DATE(2019,3,31)))),IF(SUMIFS('DATA INPUT'!$E$3:$E$3000,'DATA INPUT'!$B$3:$B$3000,'Report Tables'!AF$1,'DATA INPUT'!$A$3:$A$3000,"&gt;="&amp;DATE(2019,3,1),'DATA INPUT'!$A$3:$A$3000,"&lt;"&amp;DATE(2019,3,31),'DATA INPUT'!$F$3:$F$3000,"&lt;&gt;*Exclude*")=0,#N/A,(SUMIFS('DATA INPUT'!$E$3:$E$3000,'DATA INPUT'!$B$3:$B$3000,'Report Tables'!AF$1,'DATA INPUT'!$A$3:$A$3000,"&gt;="&amp;DATE(2019,3,1),'DATA INPUT'!$A$3:$A$3000,"&lt;"&amp;DATE(2019,3,31),'DATA INPUT'!$F$3:$F$3000,"&lt;&gt;*Exclude*"))))</f>
        <v>#N/A</v>
      </c>
      <c r="AG29" s="136" t="e">
        <f>IF($L$2="Yes",IF(SUMIFS('DATA INPUT'!$E$3:$E$3000,'DATA INPUT'!$B$3:$B$3000,'Report Tables'!AG$1,'DATA INPUT'!$A$3:$A$3000,"&gt;="&amp;DATE(2019,3,1),'DATA INPUT'!$A$3:$A$3000,"&lt;"&amp;DATE(2019,3,31))=0,#N/A,(SUMIFS('DATA INPUT'!$E$3:$E$3000,'DATA INPUT'!$B$3:$B$3000,'Report Tables'!AG$1,'DATA INPUT'!$A$3:$A$3000,"&gt;="&amp;DATE(2019,3,1),'DATA INPUT'!$A$3:$A$3000,"&lt;"&amp;DATE(2019,3,31)))),IF(SUMIFS('DATA INPUT'!$E$3:$E$3000,'DATA INPUT'!$B$3:$B$3000,'Report Tables'!AG$1,'DATA INPUT'!$A$3:$A$3000,"&gt;="&amp;DATE(2019,3,1),'DATA INPUT'!$A$3:$A$3000,"&lt;"&amp;DATE(2019,3,31),'DATA INPUT'!$F$3:$F$3000,"&lt;&gt;*Exclude*")=0,#N/A,(SUMIFS('DATA INPUT'!$E$3:$E$3000,'DATA INPUT'!$B$3:$B$3000,'Report Tables'!AG$1,'DATA INPUT'!$A$3:$A$3000,"&gt;="&amp;DATE(2019,3,1),'DATA INPUT'!$A$3:$A$3000,"&lt;"&amp;DATE(2019,3,31),'DATA INPUT'!$F$3:$F$3000,"&lt;&gt;*Exclude*"))))</f>
        <v>#N/A</v>
      </c>
      <c r="AH29" s="136" t="e">
        <f>IF($L$2="Yes",IF(SUMIFS('DATA INPUT'!$E$3:$E$3000,'DATA INPUT'!$B$3:$B$3000,'Report Tables'!AH$1,'DATA INPUT'!$A$3:$A$3000,"&gt;="&amp;DATE(2019,3,1),'DATA INPUT'!$A$3:$A$3000,"&lt;"&amp;DATE(2019,3,31))=0,#N/A,(SUMIFS('DATA INPUT'!$E$3:$E$3000,'DATA INPUT'!$B$3:$B$3000,'Report Tables'!AH$1,'DATA INPUT'!$A$3:$A$3000,"&gt;="&amp;DATE(2019,3,1),'DATA INPUT'!$A$3:$A$3000,"&lt;"&amp;DATE(2019,3,31)))),IF(SUMIFS('DATA INPUT'!$E$3:$E$3000,'DATA INPUT'!$B$3:$B$3000,'Report Tables'!AH$1,'DATA INPUT'!$A$3:$A$3000,"&gt;="&amp;DATE(2019,3,1),'DATA INPUT'!$A$3:$A$3000,"&lt;"&amp;DATE(2019,3,31),'DATA INPUT'!$F$3:$F$3000,"&lt;&gt;*Exclude*")=0,#N/A,(SUMIFS('DATA INPUT'!$E$3:$E$3000,'DATA INPUT'!$B$3:$B$3000,'Report Tables'!AH$1,'DATA INPUT'!$A$3:$A$3000,"&gt;="&amp;DATE(2019,3,1),'DATA INPUT'!$A$3:$A$3000,"&lt;"&amp;DATE(2019,3,31),'DATA INPUT'!$F$3:$F$3000,"&lt;&gt;*Exclude*"))))</f>
        <v>#N/A</v>
      </c>
      <c r="AI29" s="136" t="e">
        <f t="shared" si="0"/>
        <v>#N/A</v>
      </c>
      <c r="AJ29" s="136" t="e">
        <f>IF($L$2="Yes",IF(SUMIFS('DATA INPUT'!$D$3:$D$3000,'DATA INPUT'!$A$3:$A$3000,"&gt;="&amp;DATE(2019,3,1),'DATA INPUT'!$A$3:$A$3000,"&lt;"&amp;DATE(2019,3,31),'DATA INPUT'!$G$3:$G$3000,"&lt;&gt;*School service*")=0,#N/A,(SUMIFS('DATA INPUT'!$D$3:$D$3000,'DATA INPUT'!$A$3:$A$3000,"&gt;="&amp;DATE(2019,3,1),'DATA INPUT'!$A$3:$A$3000,"&lt;"&amp;DATE(2019,3,31),'DATA INPUT'!$G$3:$G$3000,"&lt;&gt;*School service*"))),IF(SUMIFS('DATA INPUT'!$D$3:$D$3000,'DATA INPUT'!$A$3:$A$3000,"&gt;="&amp;DATE(2019,3,1),'DATA INPUT'!$A$3:$A$3000,"&lt;"&amp;DATE(2019,3,31),'DATA INPUT'!$F$3:$F$3000,"&lt;&gt;*Exclude*",'DATA INPUT'!$G$3:$G$3000,"&lt;&gt;*School service*")=0,#N/A,(SUMIFS('DATA INPUT'!$D$3:$D$3000,'DATA INPUT'!$A$3:$A$3000,"&gt;="&amp;DATE(2019,3,1),'DATA INPUT'!$A$3:$A$3000,"&lt;"&amp;DATE(2019,3,31),'DATA INPUT'!$F$3:$F$3000,"&lt;&gt;*Exclude*",'DATA INPUT'!$G$3:$G$3000,"&lt;&gt;*School service*"))))</f>
        <v>#N/A</v>
      </c>
      <c r="AK29" s="136" t="e">
        <f>AI29-AJ29</f>
        <v>#N/A</v>
      </c>
      <c r="AM29" s="117" t="e">
        <f>IF($L$2="Yes",IFERROR((SUMIFS('DATA INPUT'!$E$3:$E$3000,'DATA INPUT'!$B$3:$B$3000,'Report Tables'!AM$1,'DATA INPUT'!$A$3:$A$3000,"&gt;="&amp;DATE(2019,3,1),'DATA INPUT'!$A$3:$A$3000,"&lt;"&amp;DATE(2019,3,31)))/COUNTIFS('DATA INPUT'!$B$3:$B$3000,'Report Tables'!AM$1,'DATA INPUT'!$A$3:$A$3000,"&gt;="&amp;DATE(2019,3,1),'DATA INPUT'!$A$3:$A$3000,"&lt;"&amp;DATE(2019,3,31)),#N/A),IFERROR((SUMIFS('DATA INPUT'!$E$3:$E$3000,'DATA INPUT'!$B$3:$B$3000,'Report Tables'!AM$1,'DATA INPUT'!$A$3:$A$3000,"&gt;="&amp;DATE(2019,3,1),'DATA INPUT'!$A$3:$A$3000,"&lt;"&amp;DATE(2019,3,31),'DATA INPUT'!$F$3:$F$3000,"&lt;&gt;*Exclude*"))/(COUNTIFS('DATA INPUT'!$B$3:$B$3000,'Report Tables'!AM$1,'DATA INPUT'!$A$3:$A$3000,"&gt;="&amp;DATE(2019,3,1),'DATA INPUT'!$A$3:$A$3000,"&lt;"&amp;DATE(2019,3,31),'DATA INPUT'!$F$3:$F$3000,"&lt;&gt;*Exclude*")),#N/A))</f>
        <v>#N/A</v>
      </c>
      <c r="AN29" s="117" t="e">
        <f>IF($L$2="Yes",IFERROR((SUMIFS('DATA INPUT'!$E$3:$E$3000,'DATA INPUT'!$B$3:$B$3000,'Report Tables'!AN$1,'DATA INPUT'!$A$3:$A$3000,"&gt;="&amp;DATE(2019,3,1),'DATA INPUT'!$A$3:$A$3000,"&lt;"&amp;DATE(2019,3,31)))/COUNTIFS('DATA INPUT'!$B$3:$B$3000,'Report Tables'!AN$1,'DATA INPUT'!$A$3:$A$3000,"&gt;="&amp;DATE(2019,3,1),'DATA INPUT'!$A$3:$A$3000,"&lt;"&amp;DATE(2019,3,31)),#N/A),IFERROR((SUMIFS('DATA INPUT'!$E$3:$E$3000,'DATA INPUT'!$B$3:$B$3000,'Report Tables'!AN$1,'DATA INPUT'!$A$3:$A$3000,"&gt;="&amp;DATE(2019,3,1),'DATA INPUT'!$A$3:$A$3000,"&lt;"&amp;DATE(2019,3,31),'DATA INPUT'!$F$3:$F$3000,"&lt;&gt;*Exclude*"))/(COUNTIFS('DATA INPUT'!$B$3:$B$3000,'Report Tables'!AN$1,'DATA INPUT'!$A$3:$A$3000,"&gt;="&amp;DATE(2019,3,1),'DATA INPUT'!$A$3:$A$3000,"&lt;"&amp;DATE(2019,3,31),'DATA INPUT'!$F$3:$F$3000,"&lt;&gt;*Exclude*")),#N/A))</f>
        <v>#N/A</v>
      </c>
      <c r="AO29" s="117" t="e">
        <f>IF($L$2="Yes",IFERROR((SUMIFS('DATA INPUT'!$E$3:$E$3000,'DATA INPUT'!$B$3:$B$3000,'Report Tables'!AO$1,'DATA INPUT'!$A$3:$A$3000,"&gt;="&amp;DATE(2019,3,1),'DATA INPUT'!$A$3:$A$3000,"&lt;"&amp;DATE(2019,3,31)))/COUNTIFS('DATA INPUT'!$B$3:$B$3000,'Report Tables'!AO$1,'DATA INPUT'!$A$3:$A$3000,"&gt;="&amp;DATE(2019,3,1),'DATA INPUT'!$A$3:$A$3000,"&lt;"&amp;DATE(2019,3,31)),#N/A),IFERROR((SUMIFS('DATA INPUT'!$E$3:$E$3000,'DATA INPUT'!$B$3:$B$3000,'Report Tables'!AO$1,'DATA INPUT'!$A$3:$A$3000,"&gt;="&amp;DATE(2019,3,1),'DATA INPUT'!$A$3:$A$3000,"&lt;"&amp;DATE(2019,3,31),'DATA INPUT'!$F$3:$F$3000,"&lt;&gt;*Exclude*"))/(COUNTIFS('DATA INPUT'!$B$3:$B$3000,'Report Tables'!AO$1,'DATA INPUT'!$A$3:$A$3000,"&gt;="&amp;DATE(2019,3,1),'DATA INPUT'!$A$3:$A$3000,"&lt;"&amp;DATE(2019,3,31),'DATA INPUT'!$F$3:$F$3000,"&lt;&gt;*Exclude*")),#N/A))</f>
        <v>#N/A</v>
      </c>
      <c r="AP29" s="117" t="e">
        <f>IF($L$2="Yes",IFERROR((SUMIFS('DATA INPUT'!$E$3:$E$3000,'DATA INPUT'!$B$3:$B$3000,'Report Tables'!AP$1,'DATA INPUT'!$A$3:$A$3000,"&gt;="&amp;DATE(2019,3,1),'DATA INPUT'!$A$3:$A$3000,"&lt;"&amp;DATE(2019,3,31)))/COUNTIFS('DATA INPUT'!$B$3:$B$3000,'Report Tables'!AP$1,'DATA INPUT'!$A$3:$A$3000,"&gt;="&amp;DATE(2019,3,1),'DATA INPUT'!$A$3:$A$3000,"&lt;"&amp;DATE(2019,3,31)),#N/A),IFERROR((SUMIFS('DATA INPUT'!$E$3:$E$3000,'DATA INPUT'!$B$3:$B$3000,'Report Tables'!AP$1,'DATA INPUT'!$A$3:$A$3000,"&gt;="&amp;DATE(2019,3,1),'DATA INPUT'!$A$3:$A$3000,"&lt;"&amp;DATE(2019,3,31),'DATA INPUT'!$F$3:$F$3000,"&lt;&gt;*Exclude*"))/(COUNTIFS('DATA INPUT'!$B$3:$B$3000,'Report Tables'!AP$1,'DATA INPUT'!$A$3:$A$3000,"&gt;="&amp;DATE(2019,3,1),'DATA INPUT'!$A$3:$A$3000,"&lt;"&amp;DATE(2019,3,31),'DATA INPUT'!$F$3:$F$3000,"&lt;&gt;*Exclude*")),#N/A))</f>
        <v>#N/A</v>
      </c>
      <c r="AQ29" s="117" t="e">
        <f>IF($L$2="Yes",IFERROR((SUMIFS('DATA INPUT'!$E$3:$E$3000,'DATA INPUT'!$B$3:$B$3000,'Report Tables'!AQ$1,'DATA INPUT'!$A$3:$A$3000,"&gt;="&amp;DATE(2019,3,1),'DATA INPUT'!$A$3:$A$3000,"&lt;"&amp;DATE(2019,3,31)))/COUNTIFS('DATA INPUT'!$B$3:$B$3000,'Report Tables'!AQ$1,'DATA INPUT'!$A$3:$A$3000,"&gt;="&amp;DATE(2019,3,1),'DATA INPUT'!$A$3:$A$3000,"&lt;"&amp;DATE(2019,3,31)),#N/A),IFERROR((SUMIFS('DATA INPUT'!$E$3:$E$3000,'DATA INPUT'!$B$3:$B$3000,'Report Tables'!AQ$1,'DATA INPUT'!$A$3:$A$3000,"&gt;="&amp;DATE(2019,3,1),'DATA INPUT'!$A$3:$A$3000,"&lt;"&amp;DATE(2019,3,31),'DATA INPUT'!$F$3:$F$3000,"&lt;&gt;*Exclude*"))/(COUNTIFS('DATA INPUT'!$B$3:$B$3000,'Report Tables'!AQ$1,'DATA INPUT'!$A$3:$A$3000,"&gt;="&amp;DATE(2019,3,1),'DATA INPUT'!$A$3:$A$3000,"&lt;"&amp;DATE(2019,3,31),'DATA INPUT'!$F$3:$F$3000,"&lt;&gt;*Exclude*")),#N/A))</f>
        <v>#N/A</v>
      </c>
      <c r="AR29" s="117" t="e">
        <f>IF($L$2="Yes",IFERROR((SUMIFS('DATA INPUT'!$E$3:$E$3000,'DATA INPUT'!$B$3:$B$3000,'Report Tables'!AR$1,'DATA INPUT'!$A$3:$A$3000,"&gt;="&amp;DATE(2019,3,1),'DATA INPUT'!$A$3:$A$3000,"&lt;"&amp;DATE(2019,3,31)))/COUNTIFS('DATA INPUT'!$B$3:$B$3000,'Report Tables'!AR$1,'DATA INPUT'!$A$3:$A$3000,"&gt;="&amp;DATE(2019,3,1),'DATA INPUT'!$A$3:$A$3000,"&lt;"&amp;DATE(2019,3,31)),#N/A),IFERROR((SUMIFS('DATA INPUT'!$E$3:$E$3000,'DATA INPUT'!$B$3:$B$3000,'Report Tables'!AR$1,'DATA INPUT'!$A$3:$A$3000,"&gt;="&amp;DATE(2019,3,1),'DATA INPUT'!$A$3:$A$3000,"&lt;"&amp;DATE(2019,3,31),'DATA INPUT'!$F$3:$F$3000,"&lt;&gt;*Exclude*"))/(COUNTIFS('DATA INPUT'!$B$3:$B$3000,'Report Tables'!AR$1,'DATA INPUT'!$A$3:$A$3000,"&gt;="&amp;DATE(2019,3,1),'DATA INPUT'!$A$3:$A$3000,"&lt;"&amp;DATE(2019,3,31),'DATA INPUT'!$F$3:$F$3000,"&lt;&gt;*Exclude*")),#N/A))</f>
        <v>#N/A</v>
      </c>
      <c r="AS29" s="117" t="e">
        <f>IF($L$2="Yes",IFERROR((SUMIFS('DATA INPUT'!$E$3:$E$3000,'DATA INPUT'!$B$3:$B$3000,'Report Tables'!AS$1,'DATA INPUT'!$A$3:$A$3000,"&gt;="&amp;DATE(2019,3,1),'DATA INPUT'!$A$3:$A$3000,"&lt;"&amp;DATE(2019,3,31)))/COUNTIFS('DATA INPUT'!$B$3:$B$3000,'Report Tables'!AS$1,'DATA INPUT'!$A$3:$A$3000,"&gt;="&amp;DATE(2019,3,1),'DATA INPUT'!$A$3:$A$3000,"&lt;"&amp;DATE(2019,3,31)),#N/A),IFERROR((SUMIFS('DATA INPUT'!$E$3:$E$3000,'DATA INPUT'!$B$3:$B$3000,'Report Tables'!AS$1,'DATA INPUT'!$A$3:$A$3000,"&gt;="&amp;DATE(2019,3,1),'DATA INPUT'!$A$3:$A$3000,"&lt;"&amp;DATE(2019,3,31),'DATA INPUT'!$F$3:$F$3000,"&lt;&gt;*Exclude*"))/(COUNTIFS('DATA INPUT'!$B$3:$B$3000,'Report Tables'!AS$1,'DATA INPUT'!$A$3:$A$3000,"&gt;="&amp;DATE(2019,3,1),'DATA INPUT'!$A$3:$A$3000,"&lt;"&amp;DATE(2019,3,31),'DATA INPUT'!$F$3:$F$3000,"&lt;&gt;*Exclude*")),#N/A))</f>
        <v>#N/A</v>
      </c>
      <c r="AT29" s="117" t="e">
        <f>IF($L$2="Yes",IFERROR((SUMIFS('DATA INPUT'!$E$3:$E$3000,'DATA INPUT'!$B$3:$B$3000,'Report Tables'!AT$1,'DATA INPUT'!$A$3:$A$3000,"&gt;="&amp;DATE(2019,3,1),'DATA INPUT'!$A$3:$A$3000,"&lt;"&amp;DATE(2019,3,31)))/COUNTIFS('DATA INPUT'!$B$3:$B$3000,'Report Tables'!AT$1,'DATA INPUT'!$A$3:$A$3000,"&gt;="&amp;DATE(2019,3,1),'DATA INPUT'!$A$3:$A$3000,"&lt;"&amp;DATE(2019,3,31)),#N/A),IFERROR((SUMIFS('DATA INPUT'!$E$3:$E$3000,'DATA INPUT'!$B$3:$B$3000,'Report Tables'!AT$1,'DATA INPUT'!$A$3:$A$3000,"&gt;="&amp;DATE(2019,3,1),'DATA INPUT'!$A$3:$A$3000,"&lt;"&amp;DATE(2019,3,31),'DATA INPUT'!$F$3:$F$3000,"&lt;&gt;*Exclude*"))/(COUNTIFS('DATA INPUT'!$B$3:$B$3000,'Report Tables'!AT$1,'DATA INPUT'!$A$3:$A$3000,"&gt;="&amp;DATE(2019,3,1),'DATA INPUT'!$A$3:$A$3000,"&lt;"&amp;DATE(2019,3,31),'DATA INPUT'!$F$3:$F$3000,"&lt;&gt;*Exclude*")),#N/A))</f>
        <v>#N/A</v>
      </c>
      <c r="AU29" s="117" t="e">
        <f t="shared" si="1"/>
        <v>#N/A</v>
      </c>
      <c r="AV29" s="117" t="e">
        <f>IF($L$2="Yes",IFERROR((SUMIFS('DATA INPUT'!$D$3:$D$3000,'DATA INPUT'!$A$3:$A$3000,"&gt;="&amp;DATE(2019,3,1),'DATA INPUT'!$A$3:$A$3000,"&lt;"&amp;DATE(2019,3,31),'DATA INPUT'!$G$3:$G$3000,"&lt;&gt;*School service*"))/COUNTIFS('DATA INPUT'!$A$3:$A$3000,"&gt;="&amp;DATE(2019,3,1),'DATA INPUT'!$A$3:$A$3000,"&lt;"&amp;DATE(2019,3,31),'DATA INPUT'!$G$3:$G$3000,"&lt;&gt;*School service*",'DATA INPUT'!$D$3:$D$3000,"&lt;&gt;"&amp;""),#N/A),IFERROR((SUMIFS('DATA INPUT'!$D$3:$D$3000,'DATA INPUT'!$A$3:$A$3000,"&gt;="&amp;DATE(2019,3,1),'DATA INPUT'!$A$3:$A$3000,"&lt;"&amp;DATE(2019,3,31),'DATA INPUT'!$F$3:$F$3000,"&lt;&gt;*Exclude*",'DATA INPUT'!$G$3:$G$3000,"&lt;&gt;*School service*"))/(COUNTIFS('DATA INPUT'!$A$3:$A$3000,"&gt;="&amp;DATE(2019,3,1),'DATA INPUT'!$A$3:$A$3000,"&lt;"&amp;DATE(2019,3,31),'DATA INPUT'!$F$3:$F$3000,"&lt;&gt;*Exclude*",'DATA INPUT'!$G$3:$G$3000,"&lt;&gt;*School service*",'DATA INPUT'!$D$3:$D$3000,"&lt;&gt;"&amp;"")),#N/A))</f>
        <v>#N/A</v>
      </c>
      <c r="AW29" s="117" t="e">
        <f t="shared" si="2"/>
        <v>#N/A</v>
      </c>
      <c r="AX29" s="117" t="e">
        <f>IF($L$2="Yes",IFERROR((SUMIFS('DATA INPUT'!$E$3:$E$3000,'DATA INPUT'!$B$3:$B$3000,'Report Tables'!AX$1,'DATA INPUT'!$A$3:$A$3000,"&gt;="&amp;DATE(2019,3,1),'DATA INPUT'!$A$3:$A$3000,"&lt;"&amp;DATE(2019,3,31)))/COUNTIFS('DATA INPUT'!$B$3:$B$3000,'Report Tables'!AX$1,'DATA INPUT'!$A$3:$A$3000,"&gt;="&amp;DATE(2019,3,1),'DATA INPUT'!$A$3:$A$3000,"&lt;"&amp;DATE(2019,3,31)),#N/A),IFERROR((SUMIFS('DATA INPUT'!$E$3:$E$3000,'DATA INPUT'!$B$3:$B$3000,'Report Tables'!AX$1,'DATA INPUT'!$A$3:$A$3000,"&gt;="&amp;DATE(2019,3,1),'DATA INPUT'!$A$3:$A$3000,"&lt;"&amp;DATE(2019,3,31),'DATA INPUT'!$F$3:$F$3000,"&lt;&gt;*Exclude*"))/(COUNTIFS('DATA INPUT'!$B$3:$B$3000,'Report Tables'!AX$1,'DATA INPUT'!$A$3:$A$3000,"&gt;="&amp;DATE(2019,3,1),'DATA INPUT'!$A$3:$A$3000,"&lt;"&amp;DATE(2019,3,31),'DATA INPUT'!$F$3:$F$3000,"&lt;&gt;*Exclude*")),#N/A))</f>
        <v>#N/A</v>
      </c>
      <c r="AY29" s="117" t="e">
        <f>IF($L$2="Yes",IFERROR((SUMIFS('DATA INPUT'!$D$3:$D$3000,'DATA INPUT'!$B$3:$B$3000,'Report Tables'!AX$1,'DATA INPUT'!$A$3:$A$3000,"&gt;="&amp;DATE(2019,3,1),'DATA INPUT'!$A$3:$A$3000,"&lt;"&amp;DATE(2019,3,31)))/COUNTIFS('DATA INPUT'!$B$3:$B$3000,'Report Tables'!AX$1,'DATA INPUT'!$A$3:$A$3000,"&gt;="&amp;DATE(2019,3,1),'DATA INPUT'!$A$3:$A$3000,"&lt;"&amp;DATE(2019,3,31)),#N/A),IFERROR((SUMIFS('DATA INPUT'!$D$3:$D$3000,'DATA INPUT'!$B$3:$B$3000,'Report Tables'!AX$1,'DATA INPUT'!$A$3:$A$3000,"&gt;="&amp;DATE(2019,3,1),'DATA INPUT'!$A$3:$A$3000,"&lt;"&amp;DATE(2019,3,31),'DATA INPUT'!$F$3:$F$3000,"&lt;&gt;*Exclude*"))/(COUNTIFS('DATA INPUT'!$B$3:$B$3000,'Report Tables'!AX$1,'DATA INPUT'!$A$3:$A$3000,"&gt;="&amp;DATE(2019,3,1),'DATA INPUT'!$A$3:$A$3000,"&lt;"&amp;DATE(2019,3,31),'DATA INPUT'!$F$3:$F$3000,"&lt;&gt;*Exclude*")),#N/A))</f>
        <v>#N/A</v>
      </c>
      <c r="AZ29" s="117" t="e">
        <f>IF($L$2="Yes",IFERROR((SUMIFS('DATA INPUT'!$C$3:$C$3000,'DATA INPUT'!$B$3:$B$3000,'Report Tables'!AX$1,'DATA INPUT'!$A$3:$A$3000,"&gt;="&amp;DATE(2019,3,1),'DATA INPUT'!$A$3:$A$3000,"&lt;"&amp;DATE(2019,3,31)))/COUNTIFS('DATA INPUT'!$B$3:$B$3000,'Report Tables'!AX$1,'DATA INPUT'!$A$3:$A$3000,"&gt;="&amp;DATE(2019,3,1),'DATA INPUT'!$A$3:$A$3000,"&lt;"&amp;DATE(2019,3,31)),#N/A),IFERROR((SUMIFS('DATA INPUT'!$C$3:$C$3000,'DATA INPUT'!$B$3:$B$3000,'Report Tables'!AX$1,'DATA INPUT'!$A$3:$A$3000,"&gt;="&amp;DATE(2019,3,1),'DATA INPUT'!$A$3:$A$3000,"&lt;"&amp;DATE(2019,3,31),'DATA INPUT'!$F$3:$F$3000,"&lt;&gt;*Exclude*"))/(COUNTIFS('DATA INPUT'!$B$3:$B$3000,'Report Tables'!AX$1,'DATA INPUT'!$A$3:$A$3000,"&gt;="&amp;DATE(2019,3,1),'DATA INPUT'!$A$3:$A$3000,"&lt;"&amp;DATE(2019,3,31),'DATA INPUT'!$F$3:$F$3000,"&lt;&gt;*Exclude*")),#N/A))</f>
        <v>#N/A</v>
      </c>
    </row>
    <row r="30" spans="1:52" x14ac:dyDescent="0.3">
      <c r="A30" s="95" t="e">
        <f>VLOOKUP(B30,Information!$C$8:$F$15,4,FALSE)</f>
        <v>#N/A</v>
      </c>
      <c r="B30" s="46">
        <f>$B$6</f>
        <v>0</v>
      </c>
      <c r="C30" s="57" t="e">
        <f>IF($L$2="Yes",IFERROR((SUMIFS('DATA INPUT'!$E$3:$E$3000,'DATA INPUT'!$A$3:$A$3000,"&gt;="&amp;DATE(2017,1,1),'DATA INPUT'!$A$3:$A$3000,"&lt;="&amp;DATE(2017,12,31),'DATA INPUT'!$B$3:$B$3000,$B30))/(COUNTIFS('DATA INPUT'!$A$3:$A$3000,"&gt;="&amp;DATE(2017,1,1),'DATA INPUT'!$A$3:$A$3000,"&lt;="&amp;DATE(2017,12,31),'DATA INPUT'!$B$3:$B$3000,$B30)),#N/A),IFERROR((SUMIFS('DATA INPUT'!$E$3:$E$3000,'DATA INPUT'!$A$3:$A$3000,"&gt;="&amp;DATE(2017,1,1),'DATA INPUT'!$A$3:$A$3000,"&lt;="&amp;DATE(2017,12,31),'DATA INPUT'!$B$3:$B$3000,$B30,'DATA INPUT'!$F$3:$F$3000,"&lt;&gt;*Exclude*"))/(COUNTIFS('DATA INPUT'!$A$3:$A$3000,"&gt;="&amp;DATE(2017,1,1),'DATA INPUT'!$A$3:$A$3000,"&lt;="&amp;DATE(2017,12,31),'DATA INPUT'!$B$3:$B$3000,$B30,'DATA INPUT'!$F$3:$F$3000,"&lt;&gt;*Exclude*")),#N/A))</f>
        <v>#N/A</v>
      </c>
      <c r="D30" s="57" t="e">
        <f>IF($L$2="Yes",IFERROR((SUMIFS('DATA INPUT'!$E$3:$E$3000,'DATA INPUT'!$A$3:$A$3000,"&gt;="&amp;DATE(2018,1,1),'DATA INPUT'!$A$3:$A$3000,"&lt;="&amp;DATE(2018,12,31),'DATA INPUT'!$B$3:$B$3000,$B30))/(COUNTIFS('DATA INPUT'!$A$3:$A$3000,"&gt;="&amp;DATE(2018,1,1),'DATA INPUT'!$A$3:$A$3000,"&lt;="&amp;DATE(2018,12,31),'DATA INPUT'!$B$3:$B$3000,$B30)),#N/A),IFERROR((SUMIFS('DATA INPUT'!$E$3:$E$3000,'DATA INPUT'!$A$3:$A$3000,"&gt;="&amp;DATE(2018,1,1),'DATA INPUT'!$A$3:$A$3000,"&lt;="&amp;DATE(2018,12,31),'DATA INPUT'!$B$3:$B$3000,$B30,'DATA INPUT'!$F$3:$F$3000,"&lt;&gt;*Exclude*"))/(COUNTIFS('DATA INPUT'!$A$3:$A$3000,"&gt;="&amp;DATE(2018,1,1),'DATA INPUT'!$A$3:$A$3000,"&lt;="&amp;DATE(2018,12,31),'DATA INPUT'!$B$3:$B$3000,$B30,'DATA INPUT'!$F$3:$F$3000,"&lt;&gt;*Exclude*")),#N/A))</f>
        <v>#N/A</v>
      </c>
      <c r="E30" s="57" t="e">
        <f>IF($L$2="Yes",IFERROR((SUMIFS('DATA INPUT'!$E$3:$E$3000,'DATA INPUT'!$A$3:$A$3000,"&gt;="&amp;DATE(2019,1,1),'DATA INPUT'!$A$3:$A$3000,"&lt;="&amp;DATE(2019,12,31),'DATA INPUT'!$B$3:$B$3000,$B30))/(COUNTIFS('DATA INPUT'!$A$3:$A$3000,"&gt;="&amp;DATE(2019,1,1),'DATA INPUT'!$A$3:$A$3000,"&lt;="&amp;DATE(2019,12,31),'DATA INPUT'!$B$3:$B$3000,$B30)),#N/A),IFERROR((SUMIFS('DATA INPUT'!$E$3:$E$3000,'DATA INPUT'!$A$3:$A$3000,"&gt;="&amp;DATE(2019,1,1),'DATA INPUT'!$A$3:$A$3000,"&lt;="&amp;DATE(2019,12,31),'DATA INPUT'!$B$3:$B$3000,$B30,'DATA INPUT'!$F$3:$F$3000,"&lt;&gt;*Exclude*"))/(COUNTIFS('DATA INPUT'!$A$3:$A$3000,"&gt;="&amp;DATE(2019,1,1),'DATA INPUT'!$A$3:$A$3000,"&lt;="&amp;DATE(2019,12,31),'DATA INPUT'!$B$3:$B$3000,$B30,'DATA INPUT'!$F$3:$F$3000,"&lt;&gt;*Exclude*")),#N/A))</f>
        <v>#N/A</v>
      </c>
      <c r="F30" s="57" t="e">
        <f>IF($L$2="Yes",IFERROR((SUMIFS('DATA INPUT'!$E$3:$E$3000,'DATA INPUT'!$A$3:$A$3000,"&gt;="&amp;DATE(2020,1,1),'DATA INPUT'!$A$3:$A$3000,"&lt;="&amp;DATE(2020,12,31),'DATA INPUT'!$B$3:$B$3000,$B30))/(COUNTIFS('DATA INPUT'!$A$3:$A$3000,"&gt;="&amp;DATE(2020,1,1),'DATA INPUT'!$A$3:$A$3000,"&lt;="&amp;DATE(2020,12,31),'DATA INPUT'!$B$3:$B$3000,$B30)),#N/A),IFERROR((SUMIFS('DATA INPUT'!$E$3:$E$3000,'DATA INPUT'!$A$3:$A$3000,"&gt;="&amp;DATE(2020,1,1),'DATA INPUT'!$A$3:$A$3000,"&lt;="&amp;DATE(2020,12,31),'DATA INPUT'!$B$3:$B$3000,$B30,'DATA INPUT'!$F$3:$F$3000,"&lt;&gt;*Exclude*"))/(COUNTIFS('DATA INPUT'!$A$3:$A$3000,"&gt;="&amp;DATE(2020,1,1),'DATA INPUT'!$A$3:$A$3000,"&lt;="&amp;DATE(2020,12,31),'DATA INPUT'!$B$3:$B$3000,$B30,'DATA INPUT'!$F$3:$F$3000,"&lt;&gt;*Exclude*")),#N/A))</f>
        <v>#N/A</v>
      </c>
      <c r="G30" s="57" t="e">
        <f>IF($L$2="Yes",IFERROR((SUMIFS('DATA INPUT'!$E$3:$E$3000,'DATA INPUT'!$A$3:$A$3000,"&gt;="&amp;DATE(2021,1,1),'DATA INPUT'!$A$3:$A$3000,"&lt;="&amp;DATE(2021,12,31),'DATA INPUT'!$B$3:$B$3000,$B30))/(COUNTIFS('DATA INPUT'!$A$3:$A$3000,"&gt;="&amp;DATE(2021,1,1),'DATA INPUT'!$A$3:$A$3000,"&lt;="&amp;DATE(2021,12,31),'DATA INPUT'!$B$3:$B$3000,$B30)),#N/A),IFERROR((SUMIFS('DATA INPUT'!$E$3:$E$3000,'DATA INPUT'!$A$3:$A$3000,"&gt;="&amp;DATE(2021,1,1),'DATA INPUT'!$A$3:$A$3000,"&lt;="&amp;DATE(2021,12,31),'DATA INPUT'!$B$3:$B$3000,$B30,'DATA INPUT'!$F$3:$F$3000,"&lt;&gt;*Exclude*"))/(COUNTIFS('DATA INPUT'!$A$3:$A$3000,"&gt;="&amp;DATE(2021,1,1),'DATA INPUT'!$A$3:$A$3000,"&lt;="&amp;DATE(2021,12,31),'DATA INPUT'!$B$3:$B$3000,$B30,'DATA INPUT'!$F$3:$F$3000,"&lt;&gt;*Exclude*")),#N/A))</f>
        <v>#N/A</v>
      </c>
      <c r="H30" s="57" t="e">
        <f>IF($L$2="Yes",IFERROR((SUMIFS('DATA INPUT'!$E$3:$E$3000,'DATA INPUT'!$A$3:$A$3000,"&gt;="&amp;DATE(2022,1,1),'DATA INPUT'!$A$3:$A$3000,"&lt;="&amp;DATE(2022,12,31),'DATA INPUT'!$B$3:$B$3000,$B30))/(COUNTIFS('DATA INPUT'!$A$3:$A$3000,"&gt;="&amp;DATE(2022,1,1),'DATA INPUT'!$A$3:$A$3000,"&lt;="&amp;DATE(2022,12,31),'DATA INPUT'!$B$3:$B$3000,$B30)),#N/A),IFERROR((SUMIFS('DATA INPUT'!$E$3:$E$3000,'DATA INPUT'!$A$3:$A$3000,"&gt;="&amp;DATE(2022,1,1),'DATA INPUT'!$A$3:$A$3000,"&lt;="&amp;DATE(2022,12,31),'DATA INPUT'!$B$3:$B$3000,$B30,'DATA INPUT'!$F$3:$F$3000,"&lt;&gt;*Exclude*"))/(COUNTIFS('DATA INPUT'!$A$3:$A$3000,"&gt;="&amp;DATE(2022,1,1),'DATA INPUT'!$A$3:$A$3000,"&lt;="&amp;DATE(2022,12,31),'DATA INPUT'!$B$3:$B$3000,$B30,'DATA INPUT'!$F$3:$F$3000,"&lt;&gt;*Exclude*")),#N/A))</f>
        <v>#N/A</v>
      </c>
      <c r="I30" s="57" t="e">
        <f>IF($L$2="Yes",IFERROR((SUMIFS('DATA INPUT'!$E$3:$E$3000,'DATA INPUT'!$A$3:$A$3000,"&gt;="&amp;DATE(2023,1,1),'DATA INPUT'!$A$3:$A$3000,"&lt;="&amp;DATE(2023,12,31),'DATA INPUT'!$B$3:$B$3000,$B30))/(COUNTIFS('DATA INPUT'!$A$3:$A$3000,"&gt;="&amp;DATE(2023,1,1),'DATA INPUT'!$A$3:$A$3000,"&lt;="&amp;DATE(2023,12,31),'DATA INPUT'!$B$3:$B$3000,$B30)),#N/A),IFERROR((SUMIFS('DATA INPUT'!$E$3:$E$3000,'DATA INPUT'!$A$3:$A$3000,"&gt;="&amp;DATE(2023,1,1),'DATA INPUT'!$A$3:$A$3000,"&lt;="&amp;DATE(2023,12,31),'DATA INPUT'!$B$3:$B$3000,$B30,'DATA INPUT'!$F$3:$F$3000,"&lt;&gt;*Exclude*"))/(COUNTIFS('DATA INPUT'!$A$3:$A$3000,"&gt;="&amp;DATE(2023,1,1),'DATA INPUT'!$A$3:$A$3000,"&lt;="&amp;DATE(2023,12,31),'DATA INPUT'!$B$3:$B$3000,$B30,'DATA INPUT'!$F$3:$F$3000,"&lt;&gt;*Exclude*")),#N/A))</f>
        <v>#N/A</v>
      </c>
      <c r="J30" s="57" t="e">
        <f>IF($L$2="Yes",IFERROR((SUMIFS('DATA INPUT'!$E$3:$E$3000,'DATA INPUT'!$A$3:$A$3000,"&gt;="&amp;DATE(2024,1,1),'DATA INPUT'!$A$3:$A$3000,"&lt;="&amp;DATE(2024,12,31),'DATA INPUT'!$B$3:$B$3000,$B30))/(COUNTIFS('DATA INPUT'!$A$3:$A$3000,"&gt;="&amp;DATE(2024,1,1),'DATA INPUT'!$A$3:$A$3000,"&lt;="&amp;DATE(2024,12,31),'DATA INPUT'!$B$3:$B$3000,$B30)),#N/A),IFERROR((SUMIFS('DATA INPUT'!$E$3:$E$3000,'DATA INPUT'!$A$3:$A$3000,"&gt;="&amp;DATE(2024,1,1),'DATA INPUT'!$A$3:$A$3000,"&lt;="&amp;DATE(2024,12,31),'DATA INPUT'!$B$3:$B$3000,$B30,'DATA INPUT'!$F$3:$F$3000,"&lt;&gt;*Exclude*"))/(COUNTIFS('DATA INPUT'!$A$3:$A$3000,"&gt;="&amp;DATE(2024,1,1),'DATA INPUT'!$A$3:$A$3000,"&lt;="&amp;DATE(2024,12,31),'DATA INPUT'!$B$3:$B$3000,$B30,'DATA INPUT'!$F$3:$F$3000,"&lt;&gt;*Exclude*")),#N/A))</f>
        <v>#N/A</v>
      </c>
      <c r="K30" s="57" t="e">
        <f>IF($L$2="Yes",IFERROR((SUMIFS('DATA INPUT'!$E$3:$E$3000,'DATA INPUT'!$A$3:$A$3000,"&gt;="&amp;DATE(2025,1,1),'DATA INPUT'!$A$3:$A$3000,"&lt;="&amp;DATE(2025,12,31),'DATA INPUT'!$B$3:$B$3000,$B30))/(COUNTIFS('DATA INPUT'!$A$3:$A$3000,"&gt;="&amp;DATE(2025,1,1),'DATA INPUT'!$A$3:$A$3000,"&lt;="&amp;DATE(2025,12,31),'DATA INPUT'!$B$3:$B$3000,$B30)),#N/A),IFERROR((SUMIFS('DATA INPUT'!$E$3:$E$3000,'DATA INPUT'!$A$3:$A$3000,"&gt;="&amp;DATE(2025,1,1),'DATA INPUT'!$A$3:$A$3000,"&lt;="&amp;DATE(2025,12,31),'DATA INPUT'!$B$3:$B$3000,$B30,'DATA INPUT'!$F$3:$F$3000,"&lt;&gt;*Exclude*"))/(COUNTIFS('DATA INPUT'!$A$3:$A$3000,"&gt;="&amp;DATE(2025,1,1),'DATA INPUT'!$A$3:$A$3000,"&lt;="&amp;DATE(2025,12,31),'DATA INPUT'!$B$3:$B$3000,$B30,'DATA INPUT'!$F$3:$F$3000,"&lt;&gt;*Exclude*")),#N/A))</f>
        <v>#N/A</v>
      </c>
      <c r="L30" s="69" t="str">
        <f t="shared" si="13"/>
        <v/>
      </c>
      <c r="Y30" s="149"/>
      <c r="Z30" s="149" t="s">
        <v>15</v>
      </c>
      <c r="AA30" s="136" t="e">
        <f>IF($L$2="Yes",IF(SUMIFS('DATA INPUT'!$E$3:$E$3000,'DATA INPUT'!$B$3:$B$3000,'Report Tables'!AA$1,'DATA INPUT'!$A$3:$A$3000,"&gt;="&amp;DATE(2019,4,1),'DATA INPUT'!$A$3:$A$3000,"&lt;"&amp;DATE(2019,4,31))=0,#N/A,(SUMIFS('DATA INPUT'!$E$3:$E$3000,'DATA INPUT'!$B$3:$B$3000,'Report Tables'!AA$1,'DATA INPUT'!$A$3:$A$3000,"&gt;="&amp;DATE(2019,4,1),'DATA INPUT'!$A$3:$A$3000,"&lt;"&amp;DATE(2019,4,31)))),IF(SUMIFS('DATA INPUT'!$E$3:$E$3000,'DATA INPUT'!$B$3:$B$3000,'Report Tables'!AA$1,'DATA INPUT'!$A$3:$A$3000,"&gt;="&amp;DATE(2019,4,1),'DATA INPUT'!$A$3:$A$3000,"&lt;"&amp;DATE(2019,4,31),'DATA INPUT'!$F$3:$F$3000,"&lt;&gt;*Exclude*")=0,#N/A,(SUMIFS('DATA INPUT'!$E$3:$E$3000,'DATA INPUT'!$B$3:$B$3000,'Report Tables'!AA$1,'DATA INPUT'!$A$3:$A$3000,"&gt;="&amp;DATE(2019,4,1),'DATA INPUT'!$A$3:$A$3000,"&lt;"&amp;DATE(2019,4,31),'DATA INPUT'!$F$3:$F$3000,"&lt;&gt;*Exclude*"))))</f>
        <v>#N/A</v>
      </c>
      <c r="AB30" s="136" t="e">
        <f>IF($L$2="Yes",IF(SUMIFS('DATA INPUT'!$E$3:$E$3000,'DATA INPUT'!$B$3:$B$3000,'Report Tables'!AB$1,'DATA INPUT'!$A$3:$A$3000,"&gt;="&amp;DATE(2019,4,1),'DATA INPUT'!$A$3:$A$3000,"&lt;"&amp;DATE(2019,4,31))=0,#N/A,(SUMIFS('DATA INPUT'!$E$3:$E$3000,'DATA INPUT'!$B$3:$B$3000,'Report Tables'!AB$1,'DATA INPUT'!$A$3:$A$3000,"&gt;="&amp;DATE(2019,4,1),'DATA INPUT'!$A$3:$A$3000,"&lt;"&amp;DATE(2019,4,31)))),IF(SUMIFS('DATA INPUT'!$E$3:$E$3000,'DATA INPUT'!$B$3:$B$3000,'Report Tables'!AB$1,'DATA INPUT'!$A$3:$A$3000,"&gt;="&amp;DATE(2019,4,1),'DATA INPUT'!$A$3:$A$3000,"&lt;"&amp;DATE(2019,4,31),'DATA INPUT'!$F$3:$F$3000,"&lt;&gt;*Exclude*")=0,#N/A,(SUMIFS('DATA INPUT'!$E$3:$E$3000,'DATA INPUT'!$B$3:$B$3000,'Report Tables'!AB$1,'DATA INPUT'!$A$3:$A$3000,"&gt;="&amp;DATE(2019,4,1),'DATA INPUT'!$A$3:$A$3000,"&lt;"&amp;DATE(2019,4,31),'DATA INPUT'!$F$3:$F$3000,"&lt;&gt;*Exclude*"))))</f>
        <v>#N/A</v>
      </c>
      <c r="AC30" s="136" t="e">
        <f>IF($L$2="Yes",IF(SUMIFS('DATA INPUT'!$E$3:$E$3000,'DATA INPUT'!$B$3:$B$3000,'Report Tables'!AC$1,'DATA INPUT'!$A$3:$A$3000,"&gt;="&amp;DATE(2019,4,1),'DATA INPUT'!$A$3:$A$3000,"&lt;"&amp;DATE(2019,4,31))=0,#N/A,(SUMIFS('DATA INPUT'!$E$3:$E$3000,'DATA INPUT'!$B$3:$B$3000,'Report Tables'!AC$1,'DATA INPUT'!$A$3:$A$3000,"&gt;="&amp;DATE(2019,4,1),'DATA INPUT'!$A$3:$A$3000,"&lt;"&amp;DATE(2019,4,31)))),IF(SUMIFS('DATA INPUT'!$E$3:$E$3000,'DATA INPUT'!$B$3:$B$3000,'Report Tables'!AC$1,'DATA INPUT'!$A$3:$A$3000,"&gt;="&amp;DATE(2019,4,1),'DATA INPUT'!$A$3:$A$3000,"&lt;"&amp;DATE(2019,4,31),'DATA INPUT'!$F$3:$F$3000,"&lt;&gt;*Exclude*")=0,#N/A,(SUMIFS('DATA INPUT'!$E$3:$E$3000,'DATA INPUT'!$B$3:$B$3000,'Report Tables'!AC$1,'DATA INPUT'!$A$3:$A$3000,"&gt;="&amp;DATE(2019,4,1),'DATA INPUT'!$A$3:$A$3000,"&lt;"&amp;DATE(2019,4,31),'DATA INPUT'!$F$3:$F$3000,"&lt;&gt;*Exclude*"))))</f>
        <v>#N/A</v>
      </c>
      <c r="AD30" s="136" t="e">
        <f>IF($L$2="Yes",IF(SUMIFS('DATA INPUT'!$E$3:$E$3000,'DATA INPUT'!$B$3:$B$3000,'Report Tables'!AD$1,'DATA INPUT'!$A$3:$A$3000,"&gt;="&amp;DATE(2019,4,1),'DATA INPUT'!$A$3:$A$3000,"&lt;"&amp;DATE(2019,4,31))=0,#N/A,(SUMIFS('DATA INPUT'!$E$3:$E$3000,'DATA INPUT'!$B$3:$B$3000,'Report Tables'!AD$1,'DATA INPUT'!$A$3:$A$3000,"&gt;="&amp;DATE(2019,4,1),'DATA INPUT'!$A$3:$A$3000,"&lt;"&amp;DATE(2019,4,31)))),IF(SUMIFS('DATA INPUT'!$E$3:$E$3000,'DATA INPUT'!$B$3:$B$3000,'Report Tables'!AD$1,'DATA INPUT'!$A$3:$A$3000,"&gt;="&amp;DATE(2019,4,1),'DATA INPUT'!$A$3:$A$3000,"&lt;"&amp;DATE(2019,4,31),'DATA INPUT'!$F$3:$F$3000,"&lt;&gt;*Exclude*")=0,#N/A,(SUMIFS('DATA INPUT'!$E$3:$E$3000,'DATA INPUT'!$B$3:$B$3000,'Report Tables'!AD$1,'DATA INPUT'!$A$3:$A$3000,"&gt;="&amp;DATE(2019,4,1),'DATA INPUT'!$A$3:$A$3000,"&lt;"&amp;DATE(2019,4,31),'DATA INPUT'!$F$3:$F$3000,"&lt;&gt;*Exclude*"))))</f>
        <v>#N/A</v>
      </c>
      <c r="AE30" s="136" t="e">
        <f>IF($L$2="Yes",IF(SUMIFS('DATA INPUT'!$E$3:$E$3000,'DATA INPUT'!$B$3:$B$3000,'Report Tables'!AE$1,'DATA INPUT'!$A$3:$A$3000,"&gt;="&amp;DATE(2019,4,1),'DATA INPUT'!$A$3:$A$3000,"&lt;"&amp;DATE(2019,4,31))=0,#N/A,(SUMIFS('DATA INPUT'!$E$3:$E$3000,'DATA INPUT'!$B$3:$B$3000,'Report Tables'!AE$1,'DATA INPUT'!$A$3:$A$3000,"&gt;="&amp;DATE(2019,4,1),'DATA INPUT'!$A$3:$A$3000,"&lt;"&amp;DATE(2019,4,31)))),IF(SUMIFS('DATA INPUT'!$E$3:$E$3000,'DATA INPUT'!$B$3:$B$3000,'Report Tables'!AE$1,'DATA INPUT'!$A$3:$A$3000,"&gt;="&amp;DATE(2019,4,1),'DATA INPUT'!$A$3:$A$3000,"&lt;"&amp;DATE(2019,4,31),'DATA INPUT'!$F$3:$F$3000,"&lt;&gt;*Exclude*")=0,#N/A,(SUMIFS('DATA INPUT'!$E$3:$E$3000,'DATA INPUT'!$B$3:$B$3000,'Report Tables'!AE$1,'DATA INPUT'!$A$3:$A$3000,"&gt;="&amp;DATE(2019,4,1),'DATA INPUT'!$A$3:$A$3000,"&lt;"&amp;DATE(2019,4,31),'DATA INPUT'!$F$3:$F$3000,"&lt;&gt;*Exclude*"))))</f>
        <v>#N/A</v>
      </c>
      <c r="AF30" s="136" t="e">
        <f>IF($L$2="Yes",IF(SUMIFS('DATA INPUT'!$E$3:$E$3000,'DATA INPUT'!$B$3:$B$3000,'Report Tables'!AF$1,'DATA INPUT'!$A$3:$A$3000,"&gt;="&amp;DATE(2019,4,1),'DATA INPUT'!$A$3:$A$3000,"&lt;"&amp;DATE(2019,4,31))=0,#N/A,(SUMIFS('DATA INPUT'!$E$3:$E$3000,'DATA INPUT'!$B$3:$B$3000,'Report Tables'!AF$1,'DATA INPUT'!$A$3:$A$3000,"&gt;="&amp;DATE(2019,4,1),'DATA INPUT'!$A$3:$A$3000,"&lt;"&amp;DATE(2019,4,31)))),IF(SUMIFS('DATA INPUT'!$E$3:$E$3000,'DATA INPUT'!$B$3:$B$3000,'Report Tables'!AF$1,'DATA INPUT'!$A$3:$A$3000,"&gt;="&amp;DATE(2019,4,1),'DATA INPUT'!$A$3:$A$3000,"&lt;"&amp;DATE(2019,4,31),'DATA INPUT'!$F$3:$F$3000,"&lt;&gt;*Exclude*")=0,#N/A,(SUMIFS('DATA INPUT'!$E$3:$E$3000,'DATA INPUT'!$B$3:$B$3000,'Report Tables'!AF$1,'DATA INPUT'!$A$3:$A$3000,"&gt;="&amp;DATE(2019,4,1),'DATA INPUT'!$A$3:$A$3000,"&lt;"&amp;DATE(2019,4,31),'DATA INPUT'!$F$3:$F$3000,"&lt;&gt;*Exclude*"))))</f>
        <v>#N/A</v>
      </c>
      <c r="AG30" s="136" t="e">
        <f>IF($L$2="Yes",IF(SUMIFS('DATA INPUT'!$E$3:$E$3000,'DATA INPUT'!$B$3:$B$3000,'Report Tables'!AG$1,'DATA INPUT'!$A$3:$A$3000,"&gt;="&amp;DATE(2019,4,1),'DATA INPUT'!$A$3:$A$3000,"&lt;"&amp;DATE(2019,4,31))=0,#N/A,(SUMIFS('DATA INPUT'!$E$3:$E$3000,'DATA INPUT'!$B$3:$B$3000,'Report Tables'!AG$1,'DATA INPUT'!$A$3:$A$3000,"&gt;="&amp;DATE(2019,4,1),'DATA INPUT'!$A$3:$A$3000,"&lt;"&amp;DATE(2019,4,31)))),IF(SUMIFS('DATA INPUT'!$E$3:$E$3000,'DATA INPUT'!$B$3:$B$3000,'Report Tables'!AG$1,'DATA INPUT'!$A$3:$A$3000,"&gt;="&amp;DATE(2019,4,1),'DATA INPUT'!$A$3:$A$3000,"&lt;"&amp;DATE(2019,4,31),'DATA INPUT'!$F$3:$F$3000,"&lt;&gt;*Exclude*")=0,#N/A,(SUMIFS('DATA INPUT'!$E$3:$E$3000,'DATA INPUT'!$B$3:$B$3000,'Report Tables'!AG$1,'DATA INPUT'!$A$3:$A$3000,"&gt;="&amp;DATE(2019,4,1),'DATA INPUT'!$A$3:$A$3000,"&lt;"&amp;DATE(2019,4,31),'DATA INPUT'!$F$3:$F$3000,"&lt;&gt;*Exclude*"))))</f>
        <v>#N/A</v>
      </c>
      <c r="AH30" s="136" t="e">
        <f>IF($L$2="Yes",IF(SUMIFS('DATA INPUT'!$E$3:$E$3000,'DATA INPUT'!$B$3:$B$3000,'Report Tables'!AH$1,'DATA INPUT'!$A$3:$A$3000,"&gt;="&amp;DATE(2019,4,1),'DATA INPUT'!$A$3:$A$3000,"&lt;"&amp;DATE(2019,4,31))=0,#N/A,(SUMIFS('DATA INPUT'!$E$3:$E$3000,'DATA INPUT'!$B$3:$B$3000,'Report Tables'!AH$1,'DATA INPUT'!$A$3:$A$3000,"&gt;="&amp;DATE(2019,4,1),'DATA INPUT'!$A$3:$A$3000,"&lt;"&amp;DATE(2019,4,31)))),IF(SUMIFS('DATA INPUT'!$E$3:$E$3000,'DATA INPUT'!$B$3:$B$3000,'Report Tables'!AH$1,'DATA INPUT'!$A$3:$A$3000,"&gt;="&amp;DATE(2019,4,1),'DATA INPUT'!$A$3:$A$3000,"&lt;"&amp;DATE(2019,4,31),'DATA INPUT'!$F$3:$F$3000,"&lt;&gt;*Exclude*")=0,#N/A,(SUMIFS('DATA INPUT'!$E$3:$E$3000,'DATA INPUT'!$B$3:$B$3000,'Report Tables'!AH$1,'DATA INPUT'!$A$3:$A$3000,"&gt;="&amp;DATE(2019,4,1),'DATA INPUT'!$A$3:$A$3000,"&lt;"&amp;DATE(2019,4,31),'DATA INPUT'!$F$3:$F$3000,"&lt;&gt;*Exclude*"))))</f>
        <v>#N/A</v>
      </c>
      <c r="AI30" s="136" t="e">
        <f t="shared" si="0"/>
        <v>#N/A</v>
      </c>
      <c r="AJ30" s="136" t="e">
        <f>IF($L$2="Yes",IF(SUMIFS('DATA INPUT'!$D$3:$D$3000,'DATA INPUT'!$A$3:$A$3000,"&gt;="&amp;DATE(2019,4,1),'DATA INPUT'!$A$3:$A$3000,"&lt;"&amp;DATE(2019,4,31),'DATA INPUT'!$G$3:$G$3000,"&lt;&gt;*School service*")=0,#N/A,(SUMIFS('DATA INPUT'!$D$3:$D$3000,'DATA INPUT'!$A$3:$A$3000,"&gt;="&amp;DATE(2019,4,1),'DATA INPUT'!$A$3:$A$3000,"&lt;"&amp;DATE(2019,4,31),'DATA INPUT'!$G$3:$G$3000,"&lt;&gt;*School service*"))),IF(SUMIFS('DATA INPUT'!$D$3:$D$3000,'DATA INPUT'!$A$3:$A$3000,"&gt;="&amp;DATE(2019,4,1),'DATA INPUT'!$A$3:$A$3000,"&lt;"&amp;DATE(2019,4,31),'DATA INPUT'!$F$3:$F$3000,"&lt;&gt;*Exclude*",'DATA INPUT'!$G$3:$G$3000,"&lt;&gt;*School service*")=0,#N/A,(SUMIFS('DATA INPUT'!$D$3:$D$3000,'DATA INPUT'!$A$3:$A$3000,"&gt;="&amp;DATE(2019,4,1),'DATA INPUT'!$A$3:$A$3000,"&lt;"&amp;DATE(2019,4,31),'DATA INPUT'!$F$3:$F$3000,"&lt;&gt;*Exclude*",'DATA INPUT'!$G$3:$G$3000,"&lt;&gt;*School service*"))))</f>
        <v>#N/A</v>
      </c>
      <c r="AK30" s="136" t="e">
        <f>AI30-AJ30</f>
        <v>#N/A</v>
      </c>
      <c r="AM30" s="117" t="e">
        <f>IF($L$2="Yes",IFERROR((SUMIFS('DATA INPUT'!$E$3:$E$3000,'DATA INPUT'!$B$3:$B$3000,'Report Tables'!AM$1,'DATA INPUT'!$A$3:$A$3000,"&gt;="&amp;DATE(2019,4,1),'DATA INPUT'!$A$3:$A$3000,"&lt;"&amp;DATE(2019,4,31)))/COUNTIFS('DATA INPUT'!$B$3:$B$3000,'Report Tables'!AM$1,'DATA INPUT'!$A$3:$A$3000,"&gt;="&amp;DATE(2019,4,1),'DATA INPUT'!$A$3:$A$3000,"&lt;"&amp;DATE(2019,4,31)),#N/A),IFERROR((SUMIFS('DATA INPUT'!$E$3:$E$3000,'DATA INPUT'!$B$3:$B$3000,'Report Tables'!AM$1,'DATA INPUT'!$A$3:$A$3000,"&gt;="&amp;DATE(2019,4,1),'DATA INPUT'!$A$3:$A$3000,"&lt;"&amp;DATE(2019,4,31),'DATA INPUT'!$F$3:$F$3000,"&lt;&gt;*Exclude*"))/(COUNTIFS('DATA INPUT'!$B$3:$B$3000,'Report Tables'!AM$1,'DATA INPUT'!$A$3:$A$3000,"&gt;="&amp;DATE(2019,4,1),'DATA INPUT'!$A$3:$A$3000,"&lt;"&amp;DATE(2019,4,31),'DATA INPUT'!$F$3:$F$3000,"&lt;&gt;*Exclude*")),#N/A))</f>
        <v>#N/A</v>
      </c>
      <c r="AN30" s="117" t="e">
        <f>IF($L$2="Yes",IFERROR((SUMIFS('DATA INPUT'!$E$3:$E$3000,'DATA INPUT'!$B$3:$B$3000,'Report Tables'!AN$1,'DATA INPUT'!$A$3:$A$3000,"&gt;="&amp;DATE(2019,4,1),'DATA INPUT'!$A$3:$A$3000,"&lt;"&amp;DATE(2019,4,31)))/COUNTIFS('DATA INPUT'!$B$3:$B$3000,'Report Tables'!AN$1,'DATA INPUT'!$A$3:$A$3000,"&gt;="&amp;DATE(2019,4,1),'DATA INPUT'!$A$3:$A$3000,"&lt;"&amp;DATE(2019,4,31)),#N/A),IFERROR((SUMIFS('DATA INPUT'!$E$3:$E$3000,'DATA INPUT'!$B$3:$B$3000,'Report Tables'!AN$1,'DATA INPUT'!$A$3:$A$3000,"&gt;="&amp;DATE(2019,4,1),'DATA INPUT'!$A$3:$A$3000,"&lt;"&amp;DATE(2019,4,31),'DATA INPUT'!$F$3:$F$3000,"&lt;&gt;*Exclude*"))/(COUNTIFS('DATA INPUT'!$B$3:$B$3000,'Report Tables'!AN$1,'DATA INPUT'!$A$3:$A$3000,"&gt;="&amp;DATE(2019,4,1),'DATA INPUT'!$A$3:$A$3000,"&lt;"&amp;DATE(2019,4,31),'DATA INPUT'!$F$3:$F$3000,"&lt;&gt;*Exclude*")),#N/A))</f>
        <v>#N/A</v>
      </c>
      <c r="AO30" s="117" t="e">
        <f>IF($L$2="Yes",IFERROR((SUMIFS('DATA INPUT'!$E$3:$E$3000,'DATA INPUT'!$B$3:$B$3000,'Report Tables'!AO$1,'DATA INPUT'!$A$3:$A$3000,"&gt;="&amp;DATE(2019,4,1),'DATA INPUT'!$A$3:$A$3000,"&lt;"&amp;DATE(2019,4,31)))/COUNTIFS('DATA INPUT'!$B$3:$B$3000,'Report Tables'!AO$1,'DATA INPUT'!$A$3:$A$3000,"&gt;="&amp;DATE(2019,4,1),'DATA INPUT'!$A$3:$A$3000,"&lt;"&amp;DATE(2019,4,31)),#N/A),IFERROR((SUMIFS('DATA INPUT'!$E$3:$E$3000,'DATA INPUT'!$B$3:$B$3000,'Report Tables'!AO$1,'DATA INPUT'!$A$3:$A$3000,"&gt;="&amp;DATE(2019,4,1),'DATA INPUT'!$A$3:$A$3000,"&lt;"&amp;DATE(2019,4,31),'DATA INPUT'!$F$3:$F$3000,"&lt;&gt;*Exclude*"))/(COUNTIFS('DATA INPUT'!$B$3:$B$3000,'Report Tables'!AO$1,'DATA INPUT'!$A$3:$A$3000,"&gt;="&amp;DATE(2019,4,1),'DATA INPUT'!$A$3:$A$3000,"&lt;"&amp;DATE(2019,4,31),'DATA INPUT'!$F$3:$F$3000,"&lt;&gt;*Exclude*")),#N/A))</f>
        <v>#N/A</v>
      </c>
      <c r="AP30" s="117" t="e">
        <f>IF($L$2="Yes",IFERROR((SUMIFS('DATA INPUT'!$E$3:$E$3000,'DATA INPUT'!$B$3:$B$3000,'Report Tables'!AP$1,'DATA INPUT'!$A$3:$A$3000,"&gt;="&amp;DATE(2019,4,1),'DATA INPUT'!$A$3:$A$3000,"&lt;"&amp;DATE(2019,4,31)))/COUNTIFS('DATA INPUT'!$B$3:$B$3000,'Report Tables'!AP$1,'DATA INPUT'!$A$3:$A$3000,"&gt;="&amp;DATE(2019,4,1),'DATA INPUT'!$A$3:$A$3000,"&lt;"&amp;DATE(2019,4,31)),#N/A),IFERROR((SUMIFS('DATA INPUT'!$E$3:$E$3000,'DATA INPUT'!$B$3:$B$3000,'Report Tables'!AP$1,'DATA INPUT'!$A$3:$A$3000,"&gt;="&amp;DATE(2019,4,1),'DATA INPUT'!$A$3:$A$3000,"&lt;"&amp;DATE(2019,4,31),'DATA INPUT'!$F$3:$F$3000,"&lt;&gt;*Exclude*"))/(COUNTIFS('DATA INPUT'!$B$3:$B$3000,'Report Tables'!AP$1,'DATA INPUT'!$A$3:$A$3000,"&gt;="&amp;DATE(2019,4,1),'DATA INPUT'!$A$3:$A$3000,"&lt;"&amp;DATE(2019,4,31),'DATA INPUT'!$F$3:$F$3000,"&lt;&gt;*Exclude*")),#N/A))</f>
        <v>#N/A</v>
      </c>
      <c r="AQ30" s="117" t="e">
        <f>IF($L$2="Yes",IFERROR((SUMIFS('DATA INPUT'!$E$3:$E$3000,'DATA INPUT'!$B$3:$B$3000,'Report Tables'!AQ$1,'DATA INPUT'!$A$3:$A$3000,"&gt;="&amp;DATE(2019,4,1),'DATA INPUT'!$A$3:$A$3000,"&lt;"&amp;DATE(2019,4,31)))/COUNTIFS('DATA INPUT'!$B$3:$B$3000,'Report Tables'!AQ$1,'DATA INPUT'!$A$3:$A$3000,"&gt;="&amp;DATE(2019,4,1),'DATA INPUT'!$A$3:$A$3000,"&lt;"&amp;DATE(2019,4,31)),#N/A),IFERROR((SUMIFS('DATA INPUT'!$E$3:$E$3000,'DATA INPUT'!$B$3:$B$3000,'Report Tables'!AQ$1,'DATA INPUT'!$A$3:$A$3000,"&gt;="&amp;DATE(2019,4,1),'DATA INPUT'!$A$3:$A$3000,"&lt;"&amp;DATE(2019,4,31),'DATA INPUT'!$F$3:$F$3000,"&lt;&gt;*Exclude*"))/(COUNTIFS('DATA INPUT'!$B$3:$B$3000,'Report Tables'!AQ$1,'DATA INPUT'!$A$3:$A$3000,"&gt;="&amp;DATE(2019,4,1),'DATA INPUT'!$A$3:$A$3000,"&lt;"&amp;DATE(2019,4,31),'DATA INPUT'!$F$3:$F$3000,"&lt;&gt;*Exclude*")),#N/A))</f>
        <v>#N/A</v>
      </c>
      <c r="AR30" s="117" t="e">
        <f>IF($L$2="Yes",IFERROR((SUMIFS('DATA INPUT'!$E$3:$E$3000,'DATA INPUT'!$B$3:$B$3000,'Report Tables'!AR$1,'DATA INPUT'!$A$3:$A$3000,"&gt;="&amp;DATE(2019,4,1),'DATA INPUT'!$A$3:$A$3000,"&lt;"&amp;DATE(2019,4,31)))/COUNTIFS('DATA INPUT'!$B$3:$B$3000,'Report Tables'!AR$1,'DATA INPUT'!$A$3:$A$3000,"&gt;="&amp;DATE(2019,4,1),'DATA INPUT'!$A$3:$A$3000,"&lt;"&amp;DATE(2019,4,31)),#N/A),IFERROR((SUMIFS('DATA INPUT'!$E$3:$E$3000,'DATA INPUT'!$B$3:$B$3000,'Report Tables'!AR$1,'DATA INPUT'!$A$3:$A$3000,"&gt;="&amp;DATE(2019,4,1),'DATA INPUT'!$A$3:$A$3000,"&lt;"&amp;DATE(2019,4,31),'DATA INPUT'!$F$3:$F$3000,"&lt;&gt;*Exclude*"))/(COUNTIFS('DATA INPUT'!$B$3:$B$3000,'Report Tables'!AR$1,'DATA INPUT'!$A$3:$A$3000,"&gt;="&amp;DATE(2019,4,1),'DATA INPUT'!$A$3:$A$3000,"&lt;"&amp;DATE(2019,4,31),'DATA INPUT'!$F$3:$F$3000,"&lt;&gt;*Exclude*")),#N/A))</f>
        <v>#N/A</v>
      </c>
      <c r="AS30" s="117" t="e">
        <f>IF($L$2="Yes",IFERROR((SUMIFS('DATA INPUT'!$E$3:$E$3000,'DATA INPUT'!$B$3:$B$3000,'Report Tables'!AS$1,'DATA INPUT'!$A$3:$A$3000,"&gt;="&amp;DATE(2019,4,1),'DATA INPUT'!$A$3:$A$3000,"&lt;"&amp;DATE(2019,4,31)))/COUNTIFS('DATA INPUT'!$B$3:$B$3000,'Report Tables'!AS$1,'DATA INPUT'!$A$3:$A$3000,"&gt;="&amp;DATE(2019,4,1),'DATA INPUT'!$A$3:$A$3000,"&lt;"&amp;DATE(2019,4,31)),#N/A),IFERROR((SUMIFS('DATA INPUT'!$E$3:$E$3000,'DATA INPUT'!$B$3:$B$3000,'Report Tables'!AS$1,'DATA INPUT'!$A$3:$A$3000,"&gt;="&amp;DATE(2019,4,1),'DATA INPUT'!$A$3:$A$3000,"&lt;"&amp;DATE(2019,4,31),'DATA INPUT'!$F$3:$F$3000,"&lt;&gt;*Exclude*"))/(COUNTIFS('DATA INPUT'!$B$3:$B$3000,'Report Tables'!AS$1,'DATA INPUT'!$A$3:$A$3000,"&gt;="&amp;DATE(2019,4,1),'DATA INPUT'!$A$3:$A$3000,"&lt;"&amp;DATE(2019,4,31),'DATA INPUT'!$F$3:$F$3000,"&lt;&gt;*Exclude*")),#N/A))</f>
        <v>#N/A</v>
      </c>
      <c r="AT30" s="117" t="e">
        <f>IF($L$2="Yes",IFERROR((SUMIFS('DATA INPUT'!$E$3:$E$3000,'DATA INPUT'!$B$3:$B$3000,'Report Tables'!AT$1,'DATA INPUT'!$A$3:$A$3000,"&gt;="&amp;DATE(2019,4,1),'DATA INPUT'!$A$3:$A$3000,"&lt;"&amp;DATE(2019,4,31)))/COUNTIFS('DATA INPUT'!$B$3:$B$3000,'Report Tables'!AT$1,'DATA INPUT'!$A$3:$A$3000,"&gt;="&amp;DATE(2019,4,1),'DATA INPUT'!$A$3:$A$3000,"&lt;"&amp;DATE(2019,4,31)),#N/A),IFERROR((SUMIFS('DATA INPUT'!$E$3:$E$3000,'DATA INPUT'!$B$3:$B$3000,'Report Tables'!AT$1,'DATA INPUT'!$A$3:$A$3000,"&gt;="&amp;DATE(2019,4,1),'DATA INPUT'!$A$3:$A$3000,"&lt;"&amp;DATE(2019,4,31),'DATA INPUT'!$F$3:$F$3000,"&lt;&gt;*Exclude*"))/(COUNTIFS('DATA INPUT'!$B$3:$B$3000,'Report Tables'!AT$1,'DATA INPUT'!$A$3:$A$3000,"&gt;="&amp;DATE(2019,4,1),'DATA INPUT'!$A$3:$A$3000,"&lt;"&amp;DATE(2019,4,31),'DATA INPUT'!$F$3:$F$3000,"&lt;&gt;*Exclude*")),#N/A))</f>
        <v>#N/A</v>
      </c>
      <c r="AU30" s="117" t="e">
        <f t="shared" si="1"/>
        <v>#N/A</v>
      </c>
      <c r="AV30" s="117" t="e">
        <f>IF($L$2="Yes",IFERROR((SUMIFS('DATA INPUT'!$D$3:$D$3000,'DATA INPUT'!$A$3:$A$3000,"&gt;="&amp;DATE(2019,4,1),'DATA INPUT'!$A$3:$A$3000,"&lt;"&amp;DATE(2019,4,31),'DATA INPUT'!$G$3:$G$3000,"&lt;&gt;*School service*"))/COUNTIFS('DATA INPUT'!$A$3:$A$3000,"&gt;="&amp;DATE(2019,4,1),'DATA INPUT'!$A$3:$A$3000,"&lt;"&amp;DATE(2019,4,31),'DATA INPUT'!$G$3:$G$3000,"&lt;&gt;*School service*",'DATA INPUT'!$D$3:$D$3000,"&lt;&gt;"&amp;""),#N/A),IFERROR((SUMIFS('DATA INPUT'!$D$3:$D$3000,'DATA INPUT'!$A$3:$A$3000,"&gt;="&amp;DATE(2019,4,1),'DATA INPUT'!$A$3:$A$3000,"&lt;"&amp;DATE(2019,4,31),'DATA INPUT'!$F$3:$F$3000,"&lt;&gt;*Exclude*",'DATA INPUT'!$G$3:$G$3000,"&lt;&gt;*School service*"))/(COUNTIFS('DATA INPUT'!$A$3:$A$3000,"&gt;="&amp;DATE(2019,4,1),'DATA INPUT'!$A$3:$A$3000,"&lt;"&amp;DATE(2019,4,31),'DATA INPUT'!$F$3:$F$3000,"&lt;&gt;*Exclude*",'DATA INPUT'!$G$3:$G$3000,"&lt;&gt;*School service*",'DATA INPUT'!$D$3:$D$3000,"&lt;&gt;"&amp;"")),#N/A))</f>
        <v>#N/A</v>
      </c>
      <c r="AW30" s="117" t="e">
        <f t="shared" si="2"/>
        <v>#N/A</v>
      </c>
      <c r="AX30" s="117" t="e">
        <f>IF($L$2="Yes",IFERROR((SUMIFS('DATA INPUT'!$E$3:$E$3000,'DATA INPUT'!$B$3:$B$3000,'Report Tables'!AX$1,'DATA INPUT'!$A$3:$A$3000,"&gt;="&amp;DATE(2019,4,1),'DATA INPUT'!$A$3:$A$3000,"&lt;"&amp;DATE(2019,4,31)))/COUNTIFS('DATA INPUT'!$B$3:$B$3000,'Report Tables'!AX$1,'DATA INPUT'!$A$3:$A$3000,"&gt;="&amp;DATE(2019,4,1),'DATA INPUT'!$A$3:$A$3000,"&lt;"&amp;DATE(2019,4,31)),#N/A),IFERROR((SUMIFS('DATA INPUT'!$E$3:$E$3000,'DATA INPUT'!$B$3:$B$3000,'Report Tables'!AX$1,'DATA INPUT'!$A$3:$A$3000,"&gt;="&amp;DATE(2019,4,1),'DATA INPUT'!$A$3:$A$3000,"&lt;"&amp;DATE(2019,4,31),'DATA INPUT'!$F$3:$F$3000,"&lt;&gt;*Exclude*"))/(COUNTIFS('DATA INPUT'!$B$3:$B$3000,'Report Tables'!AX$1,'DATA INPUT'!$A$3:$A$3000,"&gt;="&amp;DATE(2019,4,1),'DATA INPUT'!$A$3:$A$3000,"&lt;"&amp;DATE(2019,4,31),'DATA INPUT'!$F$3:$F$3000,"&lt;&gt;*Exclude*")),#N/A))</f>
        <v>#N/A</v>
      </c>
      <c r="AY30" s="117" t="e">
        <f>IF($L$2="Yes",IFERROR((SUMIFS('DATA INPUT'!$D$3:$D$3000,'DATA INPUT'!$B$3:$B$3000,'Report Tables'!AX$1,'DATA INPUT'!$A$3:$A$3000,"&gt;="&amp;DATE(2019,4,1),'DATA INPUT'!$A$3:$A$3000,"&lt;"&amp;DATE(2019,4,31)))/COUNTIFS('DATA INPUT'!$B$3:$B$3000,'Report Tables'!AX$1,'DATA INPUT'!$A$3:$A$3000,"&gt;="&amp;DATE(2019,4,1),'DATA INPUT'!$A$3:$A$3000,"&lt;"&amp;DATE(2019,4,31)),#N/A),IFERROR((SUMIFS('DATA INPUT'!$D$3:$D$3000,'DATA INPUT'!$B$3:$B$3000,'Report Tables'!AX$1,'DATA INPUT'!$A$3:$A$3000,"&gt;="&amp;DATE(2019,4,1),'DATA INPUT'!$A$3:$A$3000,"&lt;"&amp;DATE(2019,4,31),'DATA INPUT'!$F$3:$F$3000,"&lt;&gt;*Exclude*"))/(COUNTIFS('DATA INPUT'!$B$3:$B$3000,'Report Tables'!AX$1,'DATA INPUT'!$A$3:$A$3000,"&gt;="&amp;DATE(2019,4,1),'DATA INPUT'!$A$3:$A$3000,"&lt;"&amp;DATE(2019,4,31),'DATA INPUT'!$F$3:$F$3000,"&lt;&gt;*Exclude*")),#N/A))</f>
        <v>#N/A</v>
      </c>
      <c r="AZ30" s="117" t="e">
        <f>IF($L$2="Yes",IFERROR((SUMIFS('DATA INPUT'!$C$3:$C$3000,'DATA INPUT'!$B$3:$B$3000,'Report Tables'!AX$1,'DATA INPUT'!$A$3:$A$3000,"&gt;="&amp;DATE(2019,4,1),'DATA INPUT'!$A$3:$A$3000,"&lt;"&amp;DATE(2019,4,31)))/COUNTIFS('DATA INPUT'!$B$3:$B$3000,'Report Tables'!AX$1,'DATA INPUT'!$A$3:$A$3000,"&gt;="&amp;DATE(2019,4,1),'DATA INPUT'!$A$3:$A$3000,"&lt;"&amp;DATE(2019,4,31)),#N/A),IFERROR((SUMIFS('DATA INPUT'!$C$3:$C$3000,'DATA INPUT'!$B$3:$B$3000,'Report Tables'!AX$1,'DATA INPUT'!$A$3:$A$3000,"&gt;="&amp;DATE(2019,4,1),'DATA INPUT'!$A$3:$A$3000,"&lt;"&amp;DATE(2019,4,31),'DATA INPUT'!$F$3:$F$3000,"&lt;&gt;*Exclude*"))/(COUNTIFS('DATA INPUT'!$B$3:$B$3000,'Report Tables'!AX$1,'DATA INPUT'!$A$3:$A$3000,"&gt;="&amp;DATE(2019,4,1),'DATA INPUT'!$A$3:$A$3000,"&lt;"&amp;DATE(2019,4,31),'DATA INPUT'!$F$3:$F$3000,"&lt;&gt;*Exclude*")),#N/A))</f>
        <v>#N/A</v>
      </c>
    </row>
    <row r="31" spans="1:52" x14ac:dyDescent="0.3">
      <c r="A31" s="95" t="e">
        <f>VLOOKUP(B31,Information!$C$8:$F$15,4,FALSE)</f>
        <v>#N/A</v>
      </c>
      <c r="B31" s="46">
        <f>$B$7</f>
        <v>0</v>
      </c>
      <c r="C31" s="57" t="e">
        <f>IF($L$2="Yes",IFERROR((SUMIFS('DATA INPUT'!$E$3:$E$3000,'DATA INPUT'!$A$3:$A$3000,"&gt;="&amp;DATE(2017,1,1),'DATA INPUT'!$A$3:$A$3000,"&lt;="&amp;DATE(2017,12,31),'DATA INPUT'!$B$3:$B$3000,$B31))/(COUNTIFS('DATA INPUT'!$A$3:$A$3000,"&gt;="&amp;DATE(2017,1,1),'DATA INPUT'!$A$3:$A$3000,"&lt;="&amp;DATE(2017,12,31),'DATA INPUT'!$B$3:$B$3000,$B31)),#N/A),IFERROR((SUMIFS('DATA INPUT'!$E$3:$E$3000,'DATA INPUT'!$A$3:$A$3000,"&gt;="&amp;DATE(2017,1,1),'DATA INPUT'!$A$3:$A$3000,"&lt;="&amp;DATE(2017,12,31),'DATA INPUT'!$B$3:$B$3000,$B31,'DATA INPUT'!$F$3:$F$3000,"&lt;&gt;*Exclude*"))/(COUNTIFS('DATA INPUT'!$A$3:$A$3000,"&gt;="&amp;DATE(2017,1,1),'DATA INPUT'!$A$3:$A$3000,"&lt;="&amp;DATE(2017,12,31),'DATA INPUT'!$B$3:$B$3000,$B31,'DATA INPUT'!$F$3:$F$3000,"&lt;&gt;*Exclude*")),#N/A))</f>
        <v>#N/A</v>
      </c>
      <c r="D31" s="57" t="e">
        <f>IF($L$2="Yes",IFERROR((SUMIFS('DATA INPUT'!$E$3:$E$3000,'DATA INPUT'!$A$3:$A$3000,"&gt;="&amp;DATE(2018,1,1),'DATA INPUT'!$A$3:$A$3000,"&lt;="&amp;DATE(2018,12,31),'DATA INPUT'!$B$3:$B$3000,$B31))/(COUNTIFS('DATA INPUT'!$A$3:$A$3000,"&gt;="&amp;DATE(2018,1,1),'DATA INPUT'!$A$3:$A$3000,"&lt;="&amp;DATE(2018,12,31),'DATA INPUT'!$B$3:$B$3000,$B31)),#N/A),IFERROR((SUMIFS('DATA INPUT'!$E$3:$E$3000,'DATA INPUT'!$A$3:$A$3000,"&gt;="&amp;DATE(2018,1,1),'DATA INPUT'!$A$3:$A$3000,"&lt;="&amp;DATE(2018,12,31),'DATA INPUT'!$B$3:$B$3000,$B31,'DATA INPUT'!$F$3:$F$3000,"&lt;&gt;*Exclude*"))/(COUNTIFS('DATA INPUT'!$A$3:$A$3000,"&gt;="&amp;DATE(2018,1,1),'DATA INPUT'!$A$3:$A$3000,"&lt;="&amp;DATE(2018,12,31),'DATA INPUT'!$B$3:$B$3000,$B31,'DATA INPUT'!$F$3:$F$3000,"&lt;&gt;*Exclude*")),#N/A))</f>
        <v>#N/A</v>
      </c>
      <c r="E31" s="57" t="e">
        <f>IF($L$2="Yes",IFERROR((SUMIFS('DATA INPUT'!$E$3:$E$3000,'DATA INPUT'!$A$3:$A$3000,"&gt;="&amp;DATE(2019,1,1),'DATA INPUT'!$A$3:$A$3000,"&lt;="&amp;DATE(2019,12,31),'DATA INPUT'!$B$3:$B$3000,$B31))/(COUNTIFS('DATA INPUT'!$A$3:$A$3000,"&gt;="&amp;DATE(2019,1,1),'DATA INPUT'!$A$3:$A$3000,"&lt;="&amp;DATE(2019,12,31),'DATA INPUT'!$B$3:$B$3000,$B31)),#N/A),IFERROR((SUMIFS('DATA INPUT'!$E$3:$E$3000,'DATA INPUT'!$A$3:$A$3000,"&gt;="&amp;DATE(2019,1,1),'DATA INPUT'!$A$3:$A$3000,"&lt;="&amp;DATE(2019,12,31),'DATA INPUT'!$B$3:$B$3000,$B31,'DATA INPUT'!$F$3:$F$3000,"&lt;&gt;*Exclude*"))/(COUNTIFS('DATA INPUT'!$A$3:$A$3000,"&gt;="&amp;DATE(2019,1,1),'DATA INPUT'!$A$3:$A$3000,"&lt;="&amp;DATE(2019,12,31),'DATA INPUT'!$B$3:$B$3000,$B31,'DATA INPUT'!$F$3:$F$3000,"&lt;&gt;*Exclude*")),#N/A))</f>
        <v>#N/A</v>
      </c>
      <c r="F31" s="57" t="e">
        <f>IF($L$2="Yes",IFERROR((SUMIFS('DATA INPUT'!$E$3:$E$3000,'DATA INPUT'!$A$3:$A$3000,"&gt;="&amp;DATE(2020,1,1),'DATA INPUT'!$A$3:$A$3000,"&lt;="&amp;DATE(2020,12,31),'DATA INPUT'!$B$3:$B$3000,$B31))/(COUNTIFS('DATA INPUT'!$A$3:$A$3000,"&gt;="&amp;DATE(2020,1,1),'DATA INPUT'!$A$3:$A$3000,"&lt;="&amp;DATE(2020,12,31),'DATA INPUT'!$B$3:$B$3000,$B31)),#N/A),IFERROR((SUMIFS('DATA INPUT'!$E$3:$E$3000,'DATA INPUT'!$A$3:$A$3000,"&gt;="&amp;DATE(2020,1,1),'DATA INPUT'!$A$3:$A$3000,"&lt;="&amp;DATE(2020,12,31),'DATA INPUT'!$B$3:$B$3000,$B31,'DATA INPUT'!$F$3:$F$3000,"&lt;&gt;*Exclude*"))/(COUNTIFS('DATA INPUT'!$A$3:$A$3000,"&gt;="&amp;DATE(2020,1,1),'DATA INPUT'!$A$3:$A$3000,"&lt;="&amp;DATE(2020,12,31),'DATA INPUT'!$B$3:$B$3000,$B31,'DATA INPUT'!$F$3:$F$3000,"&lt;&gt;*Exclude*")),#N/A))</f>
        <v>#N/A</v>
      </c>
      <c r="G31" s="57" t="e">
        <f>IF($L$2="Yes",IFERROR((SUMIFS('DATA INPUT'!$E$3:$E$3000,'DATA INPUT'!$A$3:$A$3000,"&gt;="&amp;DATE(2021,1,1),'DATA INPUT'!$A$3:$A$3000,"&lt;="&amp;DATE(2021,12,31),'DATA INPUT'!$B$3:$B$3000,$B31))/(COUNTIFS('DATA INPUT'!$A$3:$A$3000,"&gt;="&amp;DATE(2021,1,1),'DATA INPUT'!$A$3:$A$3000,"&lt;="&amp;DATE(2021,12,31),'DATA INPUT'!$B$3:$B$3000,$B31)),#N/A),IFERROR((SUMIFS('DATA INPUT'!$E$3:$E$3000,'DATA INPUT'!$A$3:$A$3000,"&gt;="&amp;DATE(2021,1,1),'DATA INPUT'!$A$3:$A$3000,"&lt;="&amp;DATE(2021,12,31),'DATA INPUT'!$B$3:$B$3000,$B31,'DATA INPUT'!$F$3:$F$3000,"&lt;&gt;*Exclude*"))/(COUNTIFS('DATA INPUT'!$A$3:$A$3000,"&gt;="&amp;DATE(2021,1,1),'DATA INPUT'!$A$3:$A$3000,"&lt;="&amp;DATE(2021,12,31),'DATA INPUT'!$B$3:$B$3000,$B31,'DATA INPUT'!$F$3:$F$3000,"&lt;&gt;*Exclude*")),#N/A))</f>
        <v>#N/A</v>
      </c>
      <c r="H31" s="57" t="e">
        <f>IF($L$2="Yes",IFERROR((SUMIFS('DATA INPUT'!$E$3:$E$3000,'DATA INPUT'!$A$3:$A$3000,"&gt;="&amp;DATE(2022,1,1),'DATA INPUT'!$A$3:$A$3000,"&lt;="&amp;DATE(2022,12,31),'DATA INPUT'!$B$3:$B$3000,$B31))/(COUNTIFS('DATA INPUT'!$A$3:$A$3000,"&gt;="&amp;DATE(2022,1,1),'DATA INPUT'!$A$3:$A$3000,"&lt;="&amp;DATE(2022,12,31),'DATA INPUT'!$B$3:$B$3000,$B31)),#N/A),IFERROR((SUMIFS('DATA INPUT'!$E$3:$E$3000,'DATA INPUT'!$A$3:$A$3000,"&gt;="&amp;DATE(2022,1,1),'DATA INPUT'!$A$3:$A$3000,"&lt;="&amp;DATE(2022,12,31),'DATA INPUT'!$B$3:$B$3000,$B31,'DATA INPUT'!$F$3:$F$3000,"&lt;&gt;*Exclude*"))/(COUNTIFS('DATA INPUT'!$A$3:$A$3000,"&gt;="&amp;DATE(2022,1,1),'DATA INPUT'!$A$3:$A$3000,"&lt;="&amp;DATE(2022,12,31),'DATA INPUT'!$B$3:$B$3000,$B31,'DATA INPUT'!$F$3:$F$3000,"&lt;&gt;*Exclude*")),#N/A))</f>
        <v>#N/A</v>
      </c>
      <c r="I31" s="57" t="e">
        <f>IF($L$2="Yes",IFERROR((SUMIFS('DATA INPUT'!$E$3:$E$3000,'DATA INPUT'!$A$3:$A$3000,"&gt;="&amp;DATE(2023,1,1),'DATA INPUT'!$A$3:$A$3000,"&lt;="&amp;DATE(2023,12,31),'DATA INPUT'!$B$3:$B$3000,$B31))/(COUNTIFS('DATA INPUT'!$A$3:$A$3000,"&gt;="&amp;DATE(2023,1,1),'DATA INPUT'!$A$3:$A$3000,"&lt;="&amp;DATE(2023,12,31),'DATA INPUT'!$B$3:$B$3000,$B31)),#N/A),IFERROR((SUMIFS('DATA INPUT'!$E$3:$E$3000,'DATA INPUT'!$A$3:$A$3000,"&gt;="&amp;DATE(2023,1,1),'DATA INPUT'!$A$3:$A$3000,"&lt;="&amp;DATE(2023,12,31),'DATA INPUT'!$B$3:$B$3000,$B31,'DATA INPUT'!$F$3:$F$3000,"&lt;&gt;*Exclude*"))/(COUNTIFS('DATA INPUT'!$A$3:$A$3000,"&gt;="&amp;DATE(2023,1,1),'DATA INPUT'!$A$3:$A$3000,"&lt;="&amp;DATE(2023,12,31),'DATA INPUT'!$B$3:$B$3000,$B31,'DATA INPUT'!$F$3:$F$3000,"&lt;&gt;*Exclude*")),#N/A))</f>
        <v>#N/A</v>
      </c>
      <c r="J31" s="57" t="e">
        <f>IF($L$2="Yes",IFERROR((SUMIFS('DATA INPUT'!$E$3:$E$3000,'DATA INPUT'!$A$3:$A$3000,"&gt;="&amp;DATE(2024,1,1),'DATA INPUT'!$A$3:$A$3000,"&lt;="&amp;DATE(2024,12,31),'DATA INPUT'!$B$3:$B$3000,$B31))/(COUNTIFS('DATA INPUT'!$A$3:$A$3000,"&gt;="&amp;DATE(2024,1,1),'DATA INPUT'!$A$3:$A$3000,"&lt;="&amp;DATE(2024,12,31),'DATA INPUT'!$B$3:$B$3000,$B31)),#N/A),IFERROR((SUMIFS('DATA INPUT'!$E$3:$E$3000,'DATA INPUT'!$A$3:$A$3000,"&gt;="&amp;DATE(2024,1,1),'DATA INPUT'!$A$3:$A$3000,"&lt;="&amp;DATE(2024,12,31),'DATA INPUT'!$B$3:$B$3000,$B31,'DATA INPUT'!$F$3:$F$3000,"&lt;&gt;*Exclude*"))/(COUNTIFS('DATA INPUT'!$A$3:$A$3000,"&gt;="&amp;DATE(2024,1,1),'DATA INPUT'!$A$3:$A$3000,"&lt;="&amp;DATE(2024,12,31),'DATA INPUT'!$B$3:$B$3000,$B31,'DATA INPUT'!$F$3:$F$3000,"&lt;&gt;*Exclude*")),#N/A))</f>
        <v>#N/A</v>
      </c>
      <c r="K31" s="57" t="e">
        <f>IF($L$2="Yes",IFERROR((SUMIFS('DATA INPUT'!$E$3:$E$3000,'DATA INPUT'!$A$3:$A$3000,"&gt;="&amp;DATE(2025,1,1),'DATA INPUT'!$A$3:$A$3000,"&lt;="&amp;DATE(2025,12,31),'DATA INPUT'!$B$3:$B$3000,$B31))/(COUNTIFS('DATA INPUT'!$A$3:$A$3000,"&gt;="&amp;DATE(2025,1,1),'DATA INPUT'!$A$3:$A$3000,"&lt;="&amp;DATE(2025,12,31),'DATA INPUT'!$B$3:$B$3000,$B31)),#N/A),IFERROR((SUMIFS('DATA INPUT'!$E$3:$E$3000,'DATA INPUT'!$A$3:$A$3000,"&gt;="&amp;DATE(2025,1,1),'DATA INPUT'!$A$3:$A$3000,"&lt;="&amp;DATE(2025,12,31),'DATA INPUT'!$B$3:$B$3000,$B31,'DATA INPUT'!$F$3:$F$3000,"&lt;&gt;*Exclude*"))/(COUNTIFS('DATA INPUT'!$A$3:$A$3000,"&gt;="&amp;DATE(2025,1,1),'DATA INPUT'!$A$3:$A$3000,"&lt;="&amp;DATE(2025,12,31),'DATA INPUT'!$B$3:$B$3000,$B31,'DATA INPUT'!$F$3:$F$3000,"&lt;&gt;*Exclude*")),#N/A))</f>
        <v>#N/A</v>
      </c>
      <c r="L31" s="69" t="str">
        <f t="shared" si="13"/>
        <v/>
      </c>
      <c r="Y31" s="149"/>
      <c r="Z31" s="149" t="s">
        <v>16</v>
      </c>
      <c r="AA31" s="136" t="e">
        <f>IF($L$2="Yes",IF(SUMIFS('DATA INPUT'!$E$3:$E$3000,'DATA INPUT'!$B$3:$B$3000,'Report Tables'!AA$1,'DATA INPUT'!$A$3:$A$3000,"&gt;="&amp;DATE(2019,5,1),'DATA INPUT'!$A$3:$A$3000,"&lt;"&amp;DATE(2019,5,31))=0,#N/A,(SUMIFS('DATA INPUT'!$E$3:$E$3000,'DATA INPUT'!$B$3:$B$3000,'Report Tables'!AA$1,'DATA INPUT'!$A$3:$A$3000,"&gt;="&amp;DATE(2019,5,1),'DATA INPUT'!$A$3:$A$3000,"&lt;"&amp;DATE(2019,5,31)))),IF(SUMIFS('DATA INPUT'!$E$3:$E$3000,'DATA INPUT'!$B$3:$B$3000,'Report Tables'!AA$1,'DATA INPUT'!$A$3:$A$3000,"&gt;="&amp;DATE(2019,5,1),'DATA INPUT'!$A$3:$A$3000,"&lt;"&amp;DATE(2019,5,31),'DATA INPUT'!$F$3:$F$3000,"&lt;&gt;*Exclude*")=0,#N/A,(SUMIFS('DATA INPUT'!$E$3:$E$3000,'DATA INPUT'!$B$3:$B$3000,'Report Tables'!AA$1,'DATA INPUT'!$A$3:$A$3000,"&gt;="&amp;DATE(2019,5,1),'DATA INPUT'!$A$3:$A$3000,"&lt;"&amp;DATE(2019,5,31),'DATA INPUT'!$F$3:$F$3000,"&lt;&gt;*Exclude*"))))</f>
        <v>#N/A</v>
      </c>
      <c r="AB31" s="136" t="e">
        <f>IF($L$2="Yes",IF(SUMIFS('DATA INPUT'!$E$3:$E$3000,'DATA INPUT'!$B$3:$B$3000,'Report Tables'!AB$1,'DATA INPUT'!$A$3:$A$3000,"&gt;="&amp;DATE(2019,5,1),'DATA INPUT'!$A$3:$A$3000,"&lt;"&amp;DATE(2019,5,31))=0,#N/A,(SUMIFS('DATA INPUT'!$E$3:$E$3000,'DATA INPUT'!$B$3:$B$3000,'Report Tables'!AB$1,'DATA INPUT'!$A$3:$A$3000,"&gt;="&amp;DATE(2019,5,1),'DATA INPUT'!$A$3:$A$3000,"&lt;"&amp;DATE(2019,5,31)))),IF(SUMIFS('DATA INPUT'!$E$3:$E$3000,'DATA INPUT'!$B$3:$B$3000,'Report Tables'!AB$1,'DATA INPUT'!$A$3:$A$3000,"&gt;="&amp;DATE(2019,5,1),'DATA INPUT'!$A$3:$A$3000,"&lt;"&amp;DATE(2019,5,31),'DATA INPUT'!$F$3:$F$3000,"&lt;&gt;*Exclude*")=0,#N/A,(SUMIFS('DATA INPUT'!$E$3:$E$3000,'DATA INPUT'!$B$3:$B$3000,'Report Tables'!AB$1,'DATA INPUT'!$A$3:$A$3000,"&gt;="&amp;DATE(2019,5,1),'DATA INPUT'!$A$3:$A$3000,"&lt;"&amp;DATE(2019,5,31),'DATA INPUT'!$F$3:$F$3000,"&lt;&gt;*Exclude*"))))</f>
        <v>#N/A</v>
      </c>
      <c r="AC31" s="136" t="e">
        <f>IF($L$2="Yes",IF(SUMIFS('DATA INPUT'!$E$3:$E$3000,'DATA INPUT'!$B$3:$B$3000,'Report Tables'!AC$1,'DATA INPUT'!$A$3:$A$3000,"&gt;="&amp;DATE(2019,5,1),'DATA INPUT'!$A$3:$A$3000,"&lt;"&amp;DATE(2019,5,31))=0,#N/A,(SUMIFS('DATA INPUT'!$E$3:$E$3000,'DATA INPUT'!$B$3:$B$3000,'Report Tables'!AC$1,'DATA INPUT'!$A$3:$A$3000,"&gt;="&amp;DATE(2019,5,1),'DATA INPUT'!$A$3:$A$3000,"&lt;"&amp;DATE(2019,5,31)))),IF(SUMIFS('DATA INPUT'!$E$3:$E$3000,'DATA INPUT'!$B$3:$B$3000,'Report Tables'!AC$1,'DATA INPUT'!$A$3:$A$3000,"&gt;="&amp;DATE(2019,5,1),'DATA INPUT'!$A$3:$A$3000,"&lt;"&amp;DATE(2019,5,31),'DATA INPUT'!$F$3:$F$3000,"&lt;&gt;*Exclude*")=0,#N/A,(SUMIFS('DATA INPUT'!$E$3:$E$3000,'DATA INPUT'!$B$3:$B$3000,'Report Tables'!AC$1,'DATA INPUT'!$A$3:$A$3000,"&gt;="&amp;DATE(2019,5,1),'DATA INPUT'!$A$3:$A$3000,"&lt;"&amp;DATE(2019,5,31),'DATA INPUT'!$F$3:$F$3000,"&lt;&gt;*Exclude*"))))</f>
        <v>#N/A</v>
      </c>
      <c r="AD31" s="136" t="e">
        <f>IF($L$2="Yes",IF(SUMIFS('DATA INPUT'!$E$3:$E$3000,'DATA INPUT'!$B$3:$B$3000,'Report Tables'!AD$1,'DATA INPUT'!$A$3:$A$3000,"&gt;="&amp;DATE(2019,5,1),'DATA INPUT'!$A$3:$A$3000,"&lt;"&amp;DATE(2019,5,31))=0,#N/A,(SUMIFS('DATA INPUT'!$E$3:$E$3000,'DATA INPUT'!$B$3:$B$3000,'Report Tables'!AD$1,'DATA INPUT'!$A$3:$A$3000,"&gt;="&amp;DATE(2019,5,1),'DATA INPUT'!$A$3:$A$3000,"&lt;"&amp;DATE(2019,5,31)))),IF(SUMIFS('DATA INPUT'!$E$3:$E$3000,'DATA INPUT'!$B$3:$B$3000,'Report Tables'!AD$1,'DATA INPUT'!$A$3:$A$3000,"&gt;="&amp;DATE(2019,5,1),'DATA INPUT'!$A$3:$A$3000,"&lt;"&amp;DATE(2019,5,31),'DATA INPUT'!$F$3:$F$3000,"&lt;&gt;*Exclude*")=0,#N/A,(SUMIFS('DATA INPUT'!$E$3:$E$3000,'DATA INPUT'!$B$3:$B$3000,'Report Tables'!AD$1,'DATA INPUT'!$A$3:$A$3000,"&gt;="&amp;DATE(2019,5,1),'DATA INPUT'!$A$3:$A$3000,"&lt;"&amp;DATE(2019,5,31),'DATA INPUT'!$F$3:$F$3000,"&lt;&gt;*Exclude*"))))</f>
        <v>#N/A</v>
      </c>
      <c r="AE31" s="136" t="e">
        <f>IF($L$2="Yes",IF(SUMIFS('DATA INPUT'!$E$3:$E$3000,'DATA INPUT'!$B$3:$B$3000,'Report Tables'!AE$1,'DATA INPUT'!$A$3:$A$3000,"&gt;="&amp;DATE(2019,5,1),'DATA INPUT'!$A$3:$A$3000,"&lt;"&amp;DATE(2019,5,31))=0,#N/A,(SUMIFS('DATA INPUT'!$E$3:$E$3000,'DATA INPUT'!$B$3:$B$3000,'Report Tables'!AE$1,'DATA INPUT'!$A$3:$A$3000,"&gt;="&amp;DATE(2019,5,1),'DATA INPUT'!$A$3:$A$3000,"&lt;"&amp;DATE(2019,5,31)))),IF(SUMIFS('DATA INPUT'!$E$3:$E$3000,'DATA INPUT'!$B$3:$B$3000,'Report Tables'!AE$1,'DATA INPUT'!$A$3:$A$3000,"&gt;="&amp;DATE(2019,5,1),'DATA INPUT'!$A$3:$A$3000,"&lt;"&amp;DATE(2019,5,31),'DATA INPUT'!$F$3:$F$3000,"&lt;&gt;*Exclude*")=0,#N/A,(SUMIFS('DATA INPUT'!$E$3:$E$3000,'DATA INPUT'!$B$3:$B$3000,'Report Tables'!AE$1,'DATA INPUT'!$A$3:$A$3000,"&gt;="&amp;DATE(2019,5,1),'DATA INPUT'!$A$3:$A$3000,"&lt;"&amp;DATE(2019,5,31),'DATA INPUT'!$F$3:$F$3000,"&lt;&gt;*Exclude*"))))</f>
        <v>#N/A</v>
      </c>
      <c r="AF31" s="136" t="e">
        <f>IF($L$2="Yes",IF(SUMIFS('DATA INPUT'!$E$3:$E$3000,'DATA INPUT'!$B$3:$B$3000,'Report Tables'!AF$1,'DATA INPUT'!$A$3:$A$3000,"&gt;="&amp;DATE(2019,5,1),'DATA INPUT'!$A$3:$A$3000,"&lt;"&amp;DATE(2019,5,31))=0,#N/A,(SUMIFS('DATA INPUT'!$E$3:$E$3000,'DATA INPUT'!$B$3:$B$3000,'Report Tables'!AF$1,'DATA INPUT'!$A$3:$A$3000,"&gt;="&amp;DATE(2019,5,1),'DATA INPUT'!$A$3:$A$3000,"&lt;"&amp;DATE(2019,5,31)))),IF(SUMIFS('DATA INPUT'!$E$3:$E$3000,'DATA INPUT'!$B$3:$B$3000,'Report Tables'!AF$1,'DATA INPUT'!$A$3:$A$3000,"&gt;="&amp;DATE(2019,5,1),'DATA INPUT'!$A$3:$A$3000,"&lt;"&amp;DATE(2019,5,31),'DATA INPUT'!$F$3:$F$3000,"&lt;&gt;*Exclude*")=0,#N/A,(SUMIFS('DATA INPUT'!$E$3:$E$3000,'DATA INPUT'!$B$3:$B$3000,'Report Tables'!AF$1,'DATA INPUT'!$A$3:$A$3000,"&gt;="&amp;DATE(2019,5,1),'DATA INPUT'!$A$3:$A$3000,"&lt;"&amp;DATE(2019,5,31),'DATA INPUT'!$F$3:$F$3000,"&lt;&gt;*Exclude*"))))</f>
        <v>#N/A</v>
      </c>
      <c r="AG31" s="136" t="e">
        <f>IF($L$2="Yes",IF(SUMIFS('DATA INPUT'!$E$3:$E$3000,'DATA INPUT'!$B$3:$B$3000,'Report Tables'!AG$1,'DATA INPUT'!$A$3:$A$3000,"&gt;="&amp;DATE(2019,5,1),'DATA INPUT'!$A$3:$A$3000,"&lt;"&amp;DATE(2019,5,31))=0,#N/A,(SUMIFS('DATA INPUT'!$E$3:$E$3000,'DATA INPUT'!$B$3:$B$3000,'Report Tables'!AG$1,'DATA INPUT'!$A$3:$A$3000,"&gt;="&amp;DATE(2019,5,1),'DATA INPUT'!$A$3:$A$3000,"&lt;"&amp;DATE(2019,5,31)))),IF(SUMIFS('DATA INPUT'!$E$3:$E$3000,'DATA INPUT'!$B$3:$B$3000,'Report Tables'!AG$1,'DATA INPUT'!$A$3:$A$3000,"&gt;="&amp;DATE(2019,5,1),'DATA INPUT'!$A$3:$A$3000,"&lt;"&amp;DATE(2019,5,31),'DATA INPUT'!$F$3:$F$3000,"&lt;&gt;*Exclude*")=0,#N/A,(SUMIFS('DATA INPUT'!$E$3:$E$3000,'DATA INPUT'!$B$3:$B$3000,'Report Tables'!AG$1,'DATA INPUT'!$A$3:$A$3000,"&gt;="&amp;DATE(2019,5,1),'DATA INPUT'!$A$3:$A$3000,"&lt;"&amp;DATE(2019,5,31),'DATA INPUT'!$F$3:$F$3000,"&lt;&gt;*Exclude*"))))</f>
        <v>#N/A</v>
      </c>
      <c r="AH31" s="136" t="e">
        <f>IF($L$2="Yes",IF(SUMIFS('DATA INPUT'!$E$3:$E$3000,'DATA INPUT'!$B$3:$B$3000,'Report Tables'!AH$1,'DATA INPUT'!$A$3:$A$3000,"&gt;="&amp;DATE(2019,5,1),'DATA INPUT'!$A$3:$A$3000,"&lt;"&amp;DATE(2019,5,31))=0,#N/A,(SUMIFS('DATA INPUT'!$E$3:$E$3000,'DATA INPUT'!$B$3:$B$3000,'Report Tables'!AH$1,'DATA INPUT'!$A$3:$A$3000,"&gt;="&amp;DATE(2019,5,1),'DATA INPUT'!$A$3:$A$3000,"&lt;"&amp;DATE(2019,5,31)))),IF(SUMIFS('DATA INPUT'!$E$3:$E$3000,'DATA INPUT'!$B$3:$B$3000,'Report Tables'!AH$1,'DATA INPUT'!$A$3:$A$3000,"&gt;="&amp;DATE(2019,5,1),'DATA INPUT'!$A$3:$A$3000,"&lt;"&amp;DATE(2019,5,31),'DATA INPUT'!$F$3:$F$3000,"&lt;&gt;*Exclude*")=0,#N/A,(SUMIFS('DATA INPUT'!$E$3:$E$3000,'DATA INPUT'!$B$3:$B$3000,'Report Tables'!AH$1,'DATA INPUT'!$A$3:$A$3000,"&gt;="&amp;DATE(2019,5,1),'DATA INPUT'!$A$3:$A$3000,"&lt;"&amp;DATE(2019,5,31),'DATA INPUT'!$F$3:$F$3000,"&lt;&gt;*Exclude*"))))</f>
        <v>#N/A</v>
      </c>
      <c r="AI31" s="136" t="e">
        <f t="shared" si="0"/>
        <v>#N/A</v>
      </c>
      <c r="AJ31" s="136" t="e">
        <f>IF($L$2="Yes",IF(SUMIFS('DATA INPUT'!$D$3:$D$3000,'DATA INPUT'!$A$3:$A$3000,"&gt;="&amp;DATE(2019,5,1),'DATA INPUT'!$A$3:$A$3000,"&lt;"&amp;DATE(2019,5,31),'DATA INPUT'!$G$3:$G$3000,"&lt;&gt;*School service*")=0,#N/A,(SUMIFS('DATA INPUT'!$D$3:$D$3000,'DATA INPUT'!$A$3:$A$3000,"&gt;="&amp;DATE(2019,5,1),'DATA INPUT'!$A$3:$A$3000,"&lt;"&amp;DATE(2019,5,31),'DATA INPUT'!$G$3:$G$3000,"&lt;&gt;*School service*"))),IF(SUMIFS('DATA INPUT'!$D$3:$D$3000,'DATA INPUT'!$A$3:$A$3000,"&gt;="&amp;DATE(2019,5,1),'DATA INPUT'!$A$3:$A$3000,"&lt;"&amp;DATE(2019,5,31),'DATA INPUT'!$F$3:$F$3000,"&lt;&gt;*Exclude*",'DATA INPUT'!$G$3:$G$3000,"&lt;&gt;*School service*")=0,#N/A,(SUMIFS('DATA INPUT'!$D$3:$D$3000,'DATA INPUT'!$A$3:$A$3000,"&gt;="&amp;DATE(2019,5,1),'DATA INPUT'!$A$3:$A$3000,"&lt;"&amp;DATE(2019,5,31),'DATA INPUT'!$F$3:$F$3000,"&lt;&gt;*Exclude*",'DATA INPUT'!$G$3:$G$3000,"&lt;&gt;*School service*"))))</f>
        <v>#N/A</v>
      </c>
      <c r="AK31" s="136" t="e">
        <f>AI31-AJ31</f>
        <v>#N/A</v>
      </c>
      <c r="AM31" s="117" t="e">
        <f>IF($L$2="Yes",IFERROR((SUMIFS('DATA INPUT'!$E$3:$E$3000,'DATA INPUT'!$B$3:$B$3000,'Report Tables'!AM$1,'DATA INPUT'!$A$3:$A$3000,"&gt;="&amp;DATE(2019,5,1),'DATA INPUT'!$A$3:$A$3000,"&lt;"&amp;DATE(2019,5,31)))/COUNTIFS('DATA INPUT'!$B$3:$B$3000,'Report Tables'!AM$1,'DATA INPUT'!$A$3:$A$3000,"&gt;="&amp;DATE(2019,5,1),'DATA INPUT'!$A$3:$A$3000,"&lt;"&amp;DATE(2019,5,31)),#N/A),IFERROR((SUMIFS('DATA INPUT'!$E$3:$E$3000,'DATA INPUT'!$B$3:$B$3000,'Report Tables'!AM$1,'DATA INPUT'!$A$3:$A$3000,"&gt;="&amp;DATE(2019,5,1),'DATA INPUT'!$A$3:$A$3000,"&lt;"&amp;DATE(2019,5,31),'DATA INPUT'!$F$3:$F$3000,"&lt;&gt;*Exclude*"))/(COUNTIFS('DATA INPUT'!$B$3:$B$3000,'Report Tables'!AM$1,'DATA INPUT'!$A$3:$A$3000,"&gt;="&amp;DATE(2019,5,1),'DATA INPUT'!$A$3:$A$3000,"&lt;"&amp;DATE(2019,5,31),'DATA INPUT'!$F$3:$F$3000,"&lt;&gt;*Exclude*")),#N/A))</f>
        <v>#N/A</v>
      </c>
      <c r="AN31" s="117" t="e">
        <f>IF($L$2="Yes",IFERROR((SUMIFS('DATA INPUT'!$E$3:$E$3000,'DATA INPUT'!$B$3:$B$3000,'Report Tables'!AN$1,'DATA INPUT'!$A$3:$A$3000,"&gt;="&amp;DATE(2019,5,1),'DATA INPUT'!$A$3:$A$3000,"&lt;"&amp;DATE(2019,5,31)))/COUNTIFS('DATA INPUT'!$B$3:$B$3000,'Report Tables'!AN$1,'DATA INPUT'!$A$3:$A$3000,"&gt;="&amp;DATE(2019,5,1),'DATA INPUT'!$A$3:$A$3000,"&lt;"&amp;DATE(2019,5,31)),#N/A),IFERROR((SUMIFS('DATA INPUT'!$E$3:$E$3000,'DATA INPUT'!$B$3:$B$3000,'Report Tables'!AN$1,'DATA INPUT'!$A$3:$A$3000,"&gt;="&amp;DATE(2019,5,1),'DATA INPUT'!$A$3:$A$3000,"&lt;"&amp;DATE(2019,5,31),'DATA INPUT'!$F$3:$F$3000,"&lt;&gt;*Exclude*"))/(COUNTIFS('DATA INPUT'!$B$3:$B$3000,'Report Tables'!AN$1,'DATA INPUT'!$A$3:$A$3000,"&gt;="&amp;DATE(2019,5,1),'DATA INPUT'!$A$3:$A$3000,"&lt;"&amp;DATE(2019,5,31),'DATA INPUT'!$F$3:$F$3000,"&lt;&gt;*Exclude*")),#N/A))</f>
        <v>#N/A</v>
      </c>
      <c r="AO31" s="117" t="e">
        <f>IF($L$2="Yes",IFERROR((SUMIFS('DATA INPUT'!$E$3:$E$3000,'DATA INPUT'!$B$3:$B$3000,'Report Tables'!AO$1,'DATA INPUT'!$A$3:$A$3000,"&gt;="&amp;DATE(2019,5,1),'DATA INPUT'!$A$3:$A$3000,"&lt;"&amp;DATE(2019,5,31)))/COUNTIFS('DATA INPUT'!$B$3:$B$3000,'Report Tables'!AO$1,'DATA INPUT'!$A$3:$A$3000,"&gt;="&amp;DATE(2019,5,1),'DATA INPUT'!$A$3:$A$3000,"&lt;"&amp;DATE(2019,5,31)),#N/A),IFERROR((SUMIFS('DATA INPUT'!$E$3:$E$3000,'DATA INPUT'!$B$3:$B$3000,'Report Tables'!AO$1,'DATA INPUT'!$A$3:$A$3000,"&gt;="&amp;DATE(2019,5,1),'DATA INPUT'!$A$3:$A$3000,"&lt;"&amp;DATE(2019,5,31),'DATA INPUT'!$F$3:$F$3000,"&lt;&gt;*Exclude*"))/(COUNTIFS('DATA INPUT'!$B$3:$B$3000,'Report Tables'!AO$1,'DATA INPUT'!$A$3:$A$3000,"&gt;="&amp;DATE(2019,5,1),'DATA INPUT'!$A$3:$A$3000,"&lt;"&amp;DATE(2019,5,31),'DATA INPUT'!$F$3:$F$3000,"&lt;&gt;*Exclude*")),#N/A))</f>
        <v>#N/A</v>
      </c>
      <c r="AP31" s="117" t="e">
        <f>IF($L$2="Yes",IFERROR((SUMIFS('DATA INPUT'!$E$3:$E$3000,'DATA INPUT'!$B$3:$B$3000,'Report Tables'!AP$1,'DATA INPUT'!$A$3:$A$3000,"&gt;="&amp;DATE(2019,5,1),'DATA INPUT'!$A$3:$A$3000,"&lt;"&amp;DATE(2019,5,31)))/COUNTIFS('DATA INPUT'!$B$3:$B$3000,'Report Tables'!AP$1,'DATA INPUT'!$A$3:$A$3000,"&gt;="&amp;DATE(2019,5,1),'DATA INPUT'!$A$3:$A$3000,"&lt;"&amp;DATE(2019,5,31)),#N/A),IFERROR((SUMIFS('DATA INPUT'!$E$3:$E$3000,'DATA INPUT'!$B$3:$B$3000,'Report Tables'!AP$1,'DATA INPUT'!$A$3:$A$3000,"&gt;="&amp;DATE(2019,5,1),'DATA INPUT'!$A$3:$A$3000,"&lt;"&amp;DATE(2019,5,31),'DATA INPUT'!$F$3:$F$3000,"&lt;&gt;*Exclude*"))/(COUNTIFS('DATA INPUT'!$B$3:$B$3000,'Report Tables'!AP$1,'DATA INPUT'!$A$3:$A$3000,"&gt;="&amp;DATE(2019,5,1),'DATA INPUT'!$A$3:$A$3000,"&lt;"&amp;DATE(2019,5,31),'DATA INPUT'!$F$3:$F$3000,"&lt;&gt;*Exclude*")),#N/A))</f>
        <v>#N/A</v>
      </c>
      <c r="AQ31" s="117" t="e">
        <f>IF($L$2="Yes",IFERROR((SUMIFS('DATA INPUT'!$E$3:$E$3000,'DATA INPUT'!$B$3:$B$3000,'Report Tables'!AQ$1,'DATA INPUT'!$A$3:$A$3000,"&gt;="&amp;DATE(2019,5,1),'DATA INPUT'!$A$3:$A$3000,"&lt;"&amp;DATE(2019,5,31)))/COUNTIFS('DATA INPUT'!$B$3:$B$3000,'Report Tables'!AQ$1,'DATA INPUT'!$A$3:$A$3000,"&gt;="&amp;DATE(2019,5,1),'DATA INPUT'!$A$3:$A$3000,"&lt;"&amp;DATE(2019,5,31)),#N/A),IFERROR((SUMIFS('DATA INPUT'!$E$3:$E$3000,'DATA INPUT'!$B$3:$B$3000,'Report Tables'!AQ$1,'DATA INPUT'!$A$3:$A$3000,"&gt;="&amp;DATE(2019,5,1),'DATA INPUT'!$A$3:$A$3000,"&lt;"&amp;DATE(2019,5,31),'DATA INPUT'!$F$3:$F$3000,"&lt;&gt;*Exclude*"))/(COUNTIFS('DATA INPUT'!$B$3:$B$3000,'Report Tables'!AQ$1,'DATA INPUT'!$A$3:$A$3000,"&gt;="&amp;DATE(2019,5,1),'DATA INPUT'!$A$3:$A$3000,"&lt;"&amp;DATE(2019,5,31),'DATA INPUT'!$F$3:$F$3000,"&lt;&gt;*Exclude*")),#N/A))</f>
        <v>#N/A</v>
      </c>
      <c r="AR31" s="117" t="e">
        <f>IF($L$2="Yes",IFERROR((SUMIFS('DATA INPUT'!$E$3:$E$3000,'DATA INPUT'!$B$3:$B$3000,'Report Tables'!AR$1,'DATA INPUT'!$A$3:$A$3000,"&gt;="&amp;DATE(2019,5,1),'DATA INPUT'!$A$3:$A$3000,"&lt;"&amp;DATE(2019,5,31)))/COUNTIFS('DATA INPUT'!$B$3:$B$3000,'Report Tables'!AR$1,'DATA INPUT'!$A$3:$A$3000,"&gt;="&amp;DATE(2019,5,1),'DATA INPUT'!$A$3:$A$3000,"&lt;"&amp;DATE(2019,5,31)),#N/A),IFERROR((SUMIFS('DATA INPUT'!$E$3:$E$3000,'DATA INPUT'!$B$3:$B$3000,'Report Tables'!AR$1,'DATA INPUT'!$A$3:$A$3000,"&gt;="&amp;DATE(2019,5,1),'DATA INPUT'!$A$3:$A$3000,"&lt;"&amp;DATE(2019,5,31),'DATA INPUT'!$F$3:$F$3000,"&lt;&gt;*Exclude*"))/(COUNTIFS('DATA INPUT'!$B$3:$B$3000,'Report Tables'!AR$1,'DATA INPUT'!$A$3:$A$3000,"&gt;="&amp;DATE(2019,5,1),'DATA INPUT'!$A$3:$A$3000,"&lt;"&amp;DATE(2019,5,31),'DATA INPUT'!$F$3:$F$3000,"&lt;&gt;*Exclude*")),#N/A))</f>
        <v>#N/A</v>
      </c>
      <c r="AS31" s="117" t="e">
        <f>IF($L$2="Yes",IFERROR((SUMIFS('DATA INPUT'!$E$3:$E$3000,'DATA INPUT'!$B$3:$B$3000,'Report Tables'!AS$1,'DATA INPUT'!$A$3:$A$3000,"&gt;="&amp;DATE(2019,5,1),'DATA INPUT'!$A$3:$A$3000,"&lt;"&amp;DATE(2019,5,31)))/COUNTIFS('DATA INPUT'!$B$3:$B$3000,'Report Tables'!AS$1,'DATA INPUT'!$A$3:$A$3000,"&gt;="&amp;DATE(2019,5,1),'DATA INPUT'!$A$3:$A$3000,"&lt;"&amp;DATE(2019,5,31)),#N/A),IFERROR((SUMIFS('DATA INPUT'!$E$3:$E$3000,'DATA INPUT'!$B$3:$B$3000,'Report Tables'!AS$1,'DATA INPUT'!$A$3:$A$3000,"&gt;="&amp;DATE(2019,5,1),'DATA INPUT'!$A$3:$A$3000,"&lt;"&amp;DATE(2019,5,31),'DATA INPUT'!$F$3:$F$3000,"&lt;&gt;*Exclude*"))/(COUNTIFS('DATA INPUT'!$B$3:$B$3000,'Report Tables'!AS$1,'DATA INPUT'!$A$3:$A$3000,"&gt;="&amp;DATE(2019,5,1),'DATA INPUT'!$A$3:$A$3000,"&lt;"&amp;DATE(2019,5,31),'DATA INPUT'!$F$3:$F$3000,"&lt;&gt;*Exclude*")),#N/A))</f>
        <v>#N/A</v>
      </c>
      <c r="AT31" s="117" t="e">
        <f>IF($L$2="Yes",IFERROR((SUMIFS('DATA INPUT'!$E$3:$E$3000,'DATA INPUT'!$B$3:$B$3000,'Report Tables'!AT$1,'DATA INPUT'!$A$3:$A$3000,"&gt;="&amp;DATE(2019,5,1),'DATA INPUT'!$A$3:$A$3000,"&lt;"&amp;DATE(2019,5,31)))/COUNTIFS('DATA INPUT'!$B$3:$B$3000,'Report Tables'!AT$1,'DATA INPUT'!$A$3:$A$3000,"&gt;="&amp;DATE(2019,5,1),'DATA INPUT'!$A$3:$A$3000,"&lt;"&amp;DATE(2019,5,31)),#N/A),IFERROR((SUMIFS('DATA INPUT'!$E$3:$E$3000,'DATA INPUT'!$B$3:$B$3000,'Report Tables'!AT$1,'DATA INPUT'!$A$3:$A$3000,"&gt;="&amp;DATE(2019,5,1),'DATA INPUT'!$A$3:$A$3000,"&lt;"&amp;DATE(2019,5,31),'DATA INPUT'!$F$3:$F$3000,"&lt;&gt;*Exclude*"))/(COUNTIFS('DATA INPUT'!$B$3:$B$3000,'Report Tables'!AT$1,'DATA INPUT'!$A$3:$A$3000,"&gt;="&amp;DATE(2019,5,1),'DATA INPUT'!$A$3:$A$3000,"&lt;"&amp;DATE(2019,5,31),'DATA INPUT'!$F$3:$F$3000,"&lt;&gt;*Exclude*")),#N/A))</f>
        <v>#N/A</v>
      </c>
      <c r="AU31" s="117" t="e">
        <f t="shared" si="1"/>
        <v>#N/A</v>
      </c>
      <c r="AV31" s="117" t="e">
        <f>IF($L$2="Yes",IFERROR((SUMIFS('DATA INPUT'!$D$3:$D$3000,'DATA INPUT'!$A$3:$A$3000,"&gt;="&amp;DATE(2019,5,1),'DATA INPUT'!$A$3:$A$3000,"&lt;"&amp;DATE(2019,5,31),'DATA INPUT'!$G$3:$G$3000,"&lt;&gt;*School service*"))/COUNTIFS('DATA INPUT'!$A$3:$A$3000,"&gt;="&amp;DATE(2019,5,1),'DATA INPUT'!$A$3:$A$3000,"&lt;"&amp;DATE(2019,5,31),'DATA INPUT'!$G$3:$G$3000,"&lt;&gt;*School service*",'DATA INPUT'!$D$3:$D$3000,"&lt;&gt;"&amp;""),#N/A),IFERROR((SUMIFS('DATA INPUT'!$D$3:$D$3000,'DATA INPUT'!$A$3:$A$3000,"&gt;="&amp;DATE(2019,5,1),'DATA INPUT'!$A$3:$A$3000,"&lt;"&amp;DATE(2019,5,31),'DATA INPUT'!$F$3:$F$3000,"&lt;&gt;*Exclude*",'DATA INPUT'!$G$3:$G$3000,"&lt;&gt;*School service*"))/(COUNTIFS('DATA INPUT'!$A$3:$A$3000,"&gt;="&amp;DATE(2019,5,1),'DATA INPUT'!$A$3:$A$3000,"&lt;"&amp;DATE(2019,5,31),'DATA INPUT'!$F$3:$F$3000,"&lt;&gt;*Exclude*",'DATA INPUT'!$G$3:$G$3000,"&lt;&gt;*School service*",'DATA INPUT'!$D$3:$D$3000,"&lt;&gt;"&amp;"")),#N/A))</f>
        <v>#N/A</v>
      </c>
      <c r="AW31" s="117" t="e">
        <f t="shared" si="2"/>
        <v>#N/A</v>
      </c>
      <c r="AX31" s="117" t="e">
        <f>IF($L$2="Yes",IFERROR((SUMIFS('DATA INPUT'!$E$3:$E$3000,'DATA INPUT'!$B$3:$B$3000,'Report Tables'!AX$1,'DATA INPUT'!$A$3:$A$3000,"&gt;="&amp;DATE(2019,5,1),'DATA INPUT'!$A$3:$A$3000,"&lt;"&amp;DATE(2019,5,31)))/COUNTIFS('DATA INPUT'!$B$3:$B$3000,'Report Tables'!AX$1,'DATA INPUT'!$A$3:$A$3000,"&gt;="&amp;DATE(2019,5,1),'DATA INPUT'!$A$3:$A$3000,"&lt;"&amp;DATE(2019,5,31)),#N/A),IFERROR((SUMIFS('DATA INPUT'!$E$3:$E$3000,'DATA INPUT'!$B$3:$B$3000,'Report Tables'!AX$1,'DATA INPUT'!$A$3:$A$3000,"&gt;="&amp;DATE(2019,5,1),'DATA INPUT'!$A$3:$A$3000,"&lt;"&amp;DATE(2019,5,31),'DATA INPUT'!$F$3:$F$3000,"&lt;&gt;*Exclude*"))/(COUNTIFS('DATA INPUT'!$B$3:$B$3000,'Report Tables'!AX$1,'DATA INPUT'!$A$3:$A$3000,"&gt;="&amp;DATE(2019,5,1),'DATA INPUT'!$A$3:$A$3000,"&lt;"&amp;DATE(2019,5,31),'DATA INPUT'!$F$3:$F$3000,"&lt;&gt;*Exclude*")),#N/A))</f>
        <v>#N/A</v>
      </c>
      <c r="AY31" s="117" t="e">
        <f>IF($L$2="Yes",IFERROR((SUMIFS('DATA INPUT'!$D$3:$D$3000,'DATA INPUT'!$B$3:$B$3000,'Report Tables'!AX$1,'DATA INPUT'!$A$3:$A$3000,"&gt;="&amp;DATE(2019,5,1),'DATA INPUT'!$A$3:$A$3000,"&lt;"&amp;DATE(2019,5,31)))/COUNTIFS('DATA INPUT'!$B$3:$B$3000,'Report Tables'!AX$1,'DATA INPUT'!$A$3:$A$3000,"&gt;="&amp;DATE(2019,5,1),'DATA INPUT'!$A$3:$A$3000,"&lt;"&amp;DATE(2019,5,31)),#N/A),IFERROR((SUMIFS('DATA INPUT'!$D$3:$D$3000,'DATA INPUT'!$B$3:$B$3000,'Report Tables'!AX$1,'DATA INPUT'!$A$3:$A$3000,"&gt;="&amp;DATE(2019,5,1),'DATA INPUT'!$A$3:$A$3000,"&lt;"&amp;DATE(2019,5,31),'DATA INPUT'!$F$3:$F$3000,"&lt;&gt;*Exclude*"))/(COUNTIFS('DATA INPUT'!$B$3:$B$3000,'Report Tables'!AX$1,'DATA INPUT'!$A$3:$A$3000,"&gt;="&amp;DATE(2019,5,1),'DATA INPUT'!$A$3:$A$3000,"&lt;"&amp;DATE(2019,5,31),'DATA INPUT'!$F$3:$F$3000,"&lt;&gt;*Exclude*")),#N/A))</f>
        <v>#N/A</v>
      </c>
      <c r="AZ31" s="117" t="e">
        <f>IF($L$2="Yes",IFERROR((SUMIFS('DATA INPUT'!$C$3:$C$3000,'DATA INPUT'!$B$3:$B$3000,'Report Tables'!AX$1,'DATA INPUT'!$A$3:$A$3000,"&gt;="&amp;DATE(2019,5,1),'DATA INPUT'!$A$3:$A$3000,"&lt;"&amp;DATE(2019,5,31)))/COUNTIFS('DATA INPUT'!$B$3:$B$3000,'Report Tables'!AX$1,'DATA INPUT'!$A$3:$A$3000,"&gt;="&amp;DATE(2019,5,1),'DATA INPUT'!$A$3:$A$3000,"&lt;"&amp;DATE(2019,5,31)),#N/A),IFERROR((SUMIFS('DATA INPUT'!$C$3:$C$3000,'DATA INPUT'!$B$3:$B$3000,'Report Tables'!AX$1,'DATA INPUT'!$A$3:$A$3000,"&gt;="&amp;DATE(2019,5,1),'DATA INPUT'!$A$3:$A$3000,"&lt;"&amp;DATE(2019,5,31),'DATA INPUT'!$F$3:$F$3000,"&lt;&gt;*Exclude*"))/(COUNTIFS('DATA INPUT'!$B$3:$B$3000,'Report Tables'!AX$1,'DATA INPUT'!$A$3:$A$3000,"&gt;="&amp;DATE(2019,5,1),'DATA INPUT'!$A$3:$A$3000,"&lt;"&amp;DATE(2019,5,31),'DATA INPUT'!$F$3:$F$3000,"&lt;&gt;*Exclude*")),#N/A))</f>
        <v>#N/A</v>
      </c>
    </row>
    <row r="32" spans="1:52" x14ac:dyDescent="0.3">
      <c r="A32" s="95" t="e">
        <f>VLOOKUP(B32,Information!$C$8:$F$15,4,FALSE)</f>
        <v>#N/A</v>
      </c>
      <c r="B32" s="46">
        <f>$B$8</f>
        <v>0</v>
      </c>
      <c r="C32" s="57" t="e">
        <f>IF($L$2="Yes",IFERROR((SUMIFS('DATA INPUT'!$E$3:$E$3000,'DATA INPUT'!$A$3:$A$3000,"&gt;="&amp;DATE(2017,1,1),'DATA INPUT'!$A$3:$A$3000,"&lt;="&amp;DATE(2017,12,31),'DATA INPUT'!$B$3:$B$3000,$B32))/(COUNTIFS('DATA INPUT'!$A$3:$A$3000,"&gt;="&amp;DATE(2017,1,1),'DATA INPUT'!$A$3:$A$3000,"&lt;="&amp;DATE(2017,12,31),'DATA INPUT'!$B$3:$B$3000,$B32)),#N/A),IFERROR((SUMIFS('DATA INPUT'!$E$3:$E$3000,'DATA INPUT'!$A$3:$A$3000,"&gt;="&amp;DATE(2017,1,1),'DATA INPUT'!$A$3:$A$3000,"&lt;="&amp;DATE(2017,12,31),'DATA INPUT'!$B$3:$B$3000,$B32,'DATA INPUT'!$F$3:$F$3000,"&lt;&gt;*Exclude*"))/(COUNTIFS('DATA INPUT'!$A$3:$A$3000,"&gt;="&amp;DATE(2017,1,1),'DATA INPUT'!$A$3:$A$3000,"&lt;="&amp;DATE(2017,12,31),'DATA INPUT'!$B$3:$B$3000,$B32,'DATA INPUT'!$F$3:$F$3000,"&lt;&gt;*Exclude*")),#N/A))</f>
        <v>#N/A</v>
      </c>
      <c r="D32" s="57" t="e">
        <f>IF($L$2="Yes",IFERROR((SUMIFS('DATA INPUT'!$E$3:$E$3000,'DATA INPUT'!$A$3:$A$3000,"&gt;="&amp;DATE(2018,1,1),'DATA INPUT'!$A$3:$A$3000,"&lt;="&amp;DATE(2018,12,31),'DATA INPUT'!$B$3:$B$3000,$B32))/(COUNTIFS('DATA INPUT'!$A$3:$A$3000,"&gt;="&amp;DATE(2018,1,1),'DATA INPUT'!$A$3:$A$3000,"&lt;="&amp;DATE(2018,12,31),'DATA INPUT'!$B$3:$B$3000,$B32)),#N/A),IFERROR((SUMIFS('DATA INPUT'!$E$3:$E$3000,'DATA INPUT'!$A$3:$A$3000,"&gt;="&amp;DATE(2018,1,1),'DATA INPUT'!$A$3:$A$3000,"&lt;="&amp;DATE(2018,12,31),'DATA INPUT'!$B$3:$B$3000,$B32,'DATA INPUT'!$F$3:$F$3000,"&lt;&gt;*Exclude*"))/(COUNTIFS('DATA INPUT'!$A$3:$A$3000,"&gt;="&amp;DATE(2018,1,1),'DATA INPUT'!$A$3:$A$3000,"&lt;="&amp;DATE(2018,12,31),'DATA INPUT'!$B$3:$B$3000,$B32,'DATA INPUT'!$F$3:$F$3000,"&lt;&gt;*Exclude*")),#N/A))</f>
        <v>#N/A</v>
      </c>
      <c r="E32" s="57" t="e">
        <f>IF($L$2="Yes",IFERROR((SUMIFS('DATA INPUT'!$E$3:$E$3000,'DATA INPUT'!$A$3:$A$3000,"&gt;="&amp;DATE(2019,1,1),'DATA INPUT'!$A$3:$A$3000,"&lt;="&amp;DATE(2019,12,31),'DATA INPUT'!$B$3:$B$3000,$B32))/(COUNTIFS('DATA INPUT'!$A$3:$A$3000,"&gt;="&amp;DATE(2019,1,1),'DATA INPUT'!$A$3:$A$3000,"&lt;="&amp;DATE(2019,12,31),'DATA INPUT'!$B$3:$B$3000,$B32)),#N/A),IFERROR((SUMIFS('DATA INPUT'!$E$3:$E$3000,'DATA INPUT'!$A$3:$A$3000,"&gt;="&amp;DATE(2019,1,1),'DATA INPUT'!$A$3:$A$3000,"&lt;="&amp;DATE(2019,12,31),'DATA INPUT'!$B$3:$B$3000,$B32,'DATA INPUT'!$F$3:$F$3000,"&lt;&gt;*Exclude*"))/(COUNTIFS('DATA INPUT'!$A$3:$A$3000,"&gt;="&amp;DATE(2019,1,1),'DATA INPUT'!$A$3:$A$3000,"&lt;="&amp;DATE(2019,12,31),'DATA INPUT'!$B$3:$B$3000,$B32,'DATA INPUT'!$F$3:$F$3000,"&lt;&gt;*Exclude*")),#N/A))</f>
        <v>#N/A</v>
      </c>
      <c r="F32" s="57" t="e">
        <f>IF($L$2="Yes",IFERROR((SUMIFS('DATA INPUT'!$E$3:$E$3000,'DATA INPUT'!$A$3:$A$3000,"&gt;="&amp;DATE(2020,1,1),'DATA INPUT'!$A$3:$A$3000,"&lt;="&amp;DATE(2020,12,31),'DATA INPUT'!$B$3:$B$3000,$B32))/(COUNTIFS('DATA INPUT'!$A$3:$A$3000,"&gt;="&amp;DATE(2020,1,1),'DATA INPUT'!$A$3:$A$3000,"&lt;="&amp;DATE(2020,12,31),'DATA INPUT'!$B$3:$B$3000,$B32)),#N/A),IFERROR((SUMIFS('DATA INPUT'!$E$3:$E$3000,'DATA INPUT'!$A$3:$A$3000,"&gt;="&amp;DATE(2020,1,1),'DATA INPUT'!$A$3:$A$3000,"&lt;="&amp;DATE(2020,12,31),'DATA INPUT'!$B$3:$B$3000,$B32,'DATA INPUT'!$F$3:$F$3000,"&lt;&gt;*Exclude*"))/(COUNTIFS('DATA INPUT'!$A$3:$A$3000,"&gt;="&amp;DATE(2020,1,1),'DATA INPUT'!$A$3:$A$3000,"&lt;="&amp;DATE(2020,12,31),'DATA INPUT'!$B$3:$B$3000,$B32,'DATA INPUT'!$F$3:$F$3000,"&lt;&gt;*Exclude*")),#N/A))</f>
        <v>#N/A</v>
      </c>
      <c r="G32" s="57" t="e">
        <f>IF($L$2="Yes",IFERROR((SUMIFS('DATA INPUT'!$E$3:$E$3000,'DATA INPUT'!$A$3:$A$3000,"&gt;="&amp;DATE(2021,1,1),'DATA INPUT'!$A$3:$A$3000,"&lt;="&amp;DATE(2021,12,31),'DATA INPUT'!$B$3:$B$3000,$B32))/(COUNTIFS('DATA INPUT'!$A$3:$A$3000,"&gt;="&amp;DATE(2021,1,1),'DATA INPUT'!$A$3:$A$3000,"&lt;="&amp;DATE(2021,12,31),'DATA INPUT'!$B$3:$B$3000,$B32)),#N/A),IFERROR((SUMIFS('DATA INPUT'!$E$3:$E$3000,'DATA INPUT'!$A$3:$A$3000,"&gt;="&amp;DATE(2021,1,1),'DATA INPUT'!$A$3:$A$3000,"&lt;="&amp;DATE(2021,12,31),'DATA INPUT'!$B$3:$B$3000,$B32,'DATA INPUT'!$F$3:$F$3000,"&lt;&gt;*Exclude*"))/(COUNTIFS('DATA INPUT'!$A$3:$A$3000,"&gt;="&amp;DATE(2021,1,1),'DATA INPUT'!$A$3:$A$3000,"&lt;="&amp;DATE(2021,12,31),'DATA INPUT'!$B$3:$B$3000,$B32,'DATA INPUT'!$F$3:$F$3000,"&lt;&gt;*Exclude*")),#N/A))</f>
        <v>#N/A</v>
      </c>
      <c r="H32" s="57" t="e">
        <f>IF($L$2="Yes",IFERROR((SUMIFS('DATA INPUT'!$E$3:$E$3000,'DATA INPUT'!$A$3:$A$3000,"&gt;="&amp;DATE(2022,1,1),'DATA INPUT'!$A$3:$A$3000,"&lt;="&amp;DATE(2022,12,31),'DATA INPUT'!$B$3:$B$3000,$B32))/(COUNTIFS('DATA INPUT'!$A$3:$A$3000,"&gt;="&amp;DATE(2022,1,1),'DATA INPUT'!$A$3:$A$3000,"&lt;="&amp;DATE(2022,12,31),'DATA INPUT'!$B$3:$B$3000,$B32)),#N/A),IFERROR((SUMIFS('DATA INPUT'!$E$3:$E$3000,'DATA INPUT'!$A$3:$A$3000,"&gt;="&amp;DATE(2022,1,1),'DATA INPUT'!$A$3:$A$3000,"&lt;="&amp;DATE(2022,12,31),'DATA INPUT'!$B$3:$B$3000,$B32,'DATA INPUT'!$F$3:$F$3000,"&lt;&gt;*Exclude*"))/(COUNTIFS('DATA INPUT'!$A$3:$A$3000,"&gt;="&amp;DATE(2022,1,1),'DATA INPUT'!$A$3:$A$3000,"&lt;="&amp;DATE(2022,12,31),'DATA INPUT'!$B$3:$B$3000,$B32,'DATA INPUT'!$F$3:$F$3000,"&lt;&gt;*Exclude*")),#N/A))</f>
        <v>#N/A</v>
      </c>
      <c r="I32" s="57" t="e">
        <f>IF($L$2="Yes",IFERROR((SUMIFS('DATA INPUT'!$E$3:$E$3000,'DATA INPUT'!$A$3:$A$3000,"&gt;="&amp;DATE(2023,1,1),'DATA INPUT'!$A$3:$A$3000,"&lt;="&amp;DATE(2023,12,31),'DATA INPUT'!$B$3:$B$3000,$B32))/(COUNTIFS('DATA INPUT'!$A$3:$A$3000,"&gt;="&amp;DATE(2023,1,1),'DATA INPUT'!$A$3:$A$3000,"&lt;="&amp;DATE(2023,12,31),'DATA INPUT'!$B$3:$B$3000,$B32)),#N/A),IFERROR((SUMIFS('DATA INPUT'!$E$3:$E$3000,'DATA INPUT'!$A$3:$A$3000,"&gt;="&amp;DATE(2023,1,1),'DATA INPUT'!$A$3:$A$3000,"&lt;="&amp;DATE(2023,12,31),'DATA INPUT'!$B$3:$B$3000,$B32,'DATA INPUT'!$F$3:$F$3000,"&lt;&gt;*Exclude*"))/(COUNTIFS('DATA INPUT'!$A$3:$A$3000,"&gt;="&amp;DATE(2023,1,1),'DATA INPUT'!$A$3:$A$3000,"&lt;="&amp;DATE(2023,12,31),'DATA INPUT'!$B$3:$B$3000,$B32,'DATA INPUT'!$F$3:$F$3000,"&lt;&gt;*Exclude*")),#N/A))</f>
        <v>#N/A</v>
      </c>
      <c r="J32" s="57" t="e">
        <f>IF($L$2="Yes",IFERROR((SUMIFS('DATA INPUT'!$E$3:$E$3000,'DATA INPUT'!$A$3:$A$3000,"&gt;="&amp;DATE(2024,1,1),'DATA INPUT'!$A$3:$A$3000,"&lt;="&amp;DATE(2024,12,31),'DATA INPUT'!$B$3:$B$3000,$B32))/(COUNTIFS('DATA INPUT'!$A$3:$A$3000,"&gt;="&amp;DATE(2024,1,1),'DATA INPUT'!$A$3:$A$3000,"&lt;="&amp;DATE(2024,12,31),'DATA INPUT'!$B$3:$B$3000,$B32)),#N/A),IFERROR((SUMIFS('DATA INPUT'!$E$3:$E$3000,'DATA INPUT'!$A$3:$A$3000,"&gt;="&amp;DATE(2024,1,1),'DATA INPUT'!$A$3:$A$3000,"&lt;="&amp;DATE(2024,12,31),'DATA INPUT'!$B$3:$B$3000,$B32,'DATA INPUT'!$F$3:$F$3000,"&lt;&gt;*Exclude*"))/(COUNTIFS('DATA INPUT'!$A$3:$A$3000,"&gt;="&amp;DATE(2024,1,1),'DATA INPUT'!$A$3:$A$3000,"&lt;="&amp;DATE(2024,12,31),'DATA INPUT'!$B$3:$B$3000,$B32,'DATA INPUT'!$F$3:$F$3000,"&lt;&gt;*Exclude*")),#N/A))</f>
        <v>#N/A</v>
      </c>
      <c r="K32" s="57" t="e">
        <f>IF($L$2="Yes",IFERROR((SUMIFS('DATA INPUT'!$E$3:$E$3000,'DATA INPUT'!$A$3:$A$3000,"&gt;="&amp;DATE(2025,1,1),'DATA INPUT'!$A$3:$A$3000,"&lt;="&amp;DATE(2025,12,31),'DATA INPUT'!$B$3:$B$3000,$B32))/(COUNTIFS('DATA INPUT'!$A$3:$A$3000,"&gt;="&amp;DATE(2025,1,1),'DATA INPUT'!$A$3:$A$3000,"&lt;="&amp;DATE(2025,12,31),'DATA INPUT'!$B$3:$B$3000,$B32)),#N/A),IFERROR((SUMIFS('DATA INPUT'!$E$3:$E$3000,'DATA INPUT'!$A$3:$A$3000,"&gt;="&amp;DATE(2025,1,1),'DATA INPUT'!$A$3:$A$3000,"&lt;="&amp;DATE(2025,12,31),'DATA INPUT'!$B$3:$B$3000,$B32,'DATA INPUT'!$F$3:$F$3000,"&lt;&gt;*Exclude*"))/(COUNTIFS('DATA INPUT'!$A$3:$A$3000,"&gt;="&amp;DATE(2025,1,1),'DATA INPUT'!$A$3:$A$3000,"&lt;="&amp;DATE(2025,12,31),'DATA INPUT'!$B$3:$B$3000,$B32,'DATA INPUT'!$F$3:$F$3000,"&lt;&gt;*Exclude*")),#N/A))</f>
        <v>#N/A</v>
      </c>
      <c r="L32" s="69" t="str">
        <f t="shared" si="13"/>
        <v/>
      </c>
      <c r="Y32" s="149"/>
      <c r="Z32" s="149" t="s">
        <v>17</v>
      </c>
      <c r="AA32" s="136" t="e">
        <f>IF($L$2="Yes",IF(SUMIFS('DATA INPUT'!$E$3:$E$3000,'DATA INPUT'!$B$3:$B$3000,'Report Tables'!AA$1,'DATA INPUT'!$A$3:$A$3000,"&gt;="&amp;DATE(2019,6,1),'DATA INPUT'!$A$3:$A$3000,"&lt;"&amp;DATE(2019,6,31))=0,#N/A,(SUMIFS('DATA INPUT'!$E$3:$E$3000,'DATA INPUT'!$B$3:$B$3000,'Report Tables'!AA$1,'DATA INPUT'!$A$3:$A$3000,"&gt;="&amp;DATE(2019,6,1),'DATA INPUT'!$A$3:$A$3000,"&lt;"&amp;DATE(2019,6,31)))),IF(SUMIFS('DATA INPUT'!$E$3:$E$3000,'DATA INPUT'!$B$3:$B$3000,'Report Tables'!AA$1,'DATA INPUT'!$A$3:$A$3000,"&gt;="&amp;DATE(2019,6,1),'DATA INPUT'!$A$3:$A$3000,"&lt;"&amp;DATE(2019,6,31),'DATA INPUT'!$F$3:$F$3000,"&lt;&gt;*Exclude*")=0,#N/A,(SUMIFS('DATA INPUT'!$E$3:$E$3000,'DATA INPUT'!$B$3:$B$3000,'Report Tables'!AA$1,'DATA INPUT'!$A$3:$A$3000,"&gt;="&amp;DATE(2019,6,1),'DATA INPUT'!$A$3:$A$3000,"&lt;"&amp;DATE(2019,6,31),'DATA INPUT'!$F$3:$F$3000,"&lt;&gt;*Exclude*"))))</f>
        <v>#N/A</v>
      </c>
      <c r="AB32" s="136" t="e">
        <f>IF($L$2="Yes",IF(SUMIFS('DATA INPUT'!$E$3:$E$3000,'DATA INPUT'!$B$3:$B$3000,'Report Tables'!AB$1,'DATA INPUT'!$A$3:$A$3000,"&gt;="&amp;DATE(2019,6,1),'DATA INPUT'!$A$3:$A$3000,"&lt;"&amp;DATE(2019,6,31))=0,#N/A,(SUMIFS('DATA INPUT'!$E$3:$E$3000,'DATA INPUT'!$B$3:$B$3000,'Report Tables'!AB$1,'DATA INPUT'!$A$3:$A$3000,"&gt;="&amp;DATE(2019,6,1),'DATA INPUT'!$A$3:$A$3000,"&lt;"&amp;DATE(2019,6,31)))),IF(SUMIFS('DATA INPUT'!$E$3:$E$3000,'DATA INPUT'!$B$3:$B$3000,'Report Tables'!AB$1,'DATA INPUT'!$A$3:$A$3000,"&gt;="&amp;DATE(2019,6,1),'DATA INPUT'!$A$3:$A$3000,"&lt;"&amp;DATE(2019,6,31),'DATA INPUT'!$F$3:$F$3000,"&lt;&gt;*Exclude*")=0,#N/A,(SUMIFS('DATA INPUT'!$E$3:$E$3000,'DATA INPUT'!$B$3:$B$3000,'Report Tables'!AB$1,'DATA INPUT'!$A$3:$A$3000,"&gt;="&amp;DATE(2019,6,1),'DATA INPUT'!$A$3:$A$3000,"&lt;"&amp;DATE(2019,6,31),'DATA INPUT'!$F$3:$F$3000,"&lt;&gt;*Exclude*"))))</f>
        <v>#N/A</v>
      </c>
      <c r="AC32" s="136" t="e">
        <f>IF($L$2="Yes",IF(SUMIFS('DATA INPUT'!$E$3:$E$3000,'DATA INPUT'!$B$3:$B$3000,'Report Tables'!AC$1,'DATA INPUT'!$A$3:$A$3000,"&gt;="&amp;DATE(2019,6,1),'DATA INPUT'!$A$3:$A$3000,"&lt;"&amp;DATE(2019,6,31))=0,#N/A,(SUMIFS('DATA INPUT'!$E$3:$E$3000,'DATA INPUT'!$B$3:$B$3000,'Report Tables'!AC$1,'DATA INPUT'!$A$3:$A$3000,"&gt;="&amp;DATE(2019,6,1),'DATA INPUT'!$A$3:$A$3000,"&lt;"&amp;DATE(2019,6,31)))),IF(SUMIFS('DATA INPUT'!$E$3:$E$3000,'DATA INPUT'!$B$3:$B$3000,'Report Tables'!AC$1,'DATA INPUT'!$A$3:$A$3000,"&gt;="&amp;DATE(2019,6,1),'DATA INPUT'!$A$3:$A$3000,"&lt;"&amp;DATE(2019,6,31),'DATA INPUT'!$F$3:$F$3000,"&lt;&gt;*Exclude*")=0,#N/A,(SUMIFS('DATA INPUT'!$E$3:$E$3000,'DATA INPUT'!$B$3:$B$3000,'Report Tables'!AC$1,'DATA INPUT'!$A$3:$A$3000,"&gt;="&amp;DATE(2019,6,1),'DATA INPUT'!$A$3:$A$3000,"&lt;"&amp;DATE(2019,6,31),'DATA INPUT'!$F$3:$F$3000,"&lt;&gt;*Exclude*"))))</f>
        <v>#N/A</v>
      </c>
      <c r="AD32" s="136" t="e">
        <f>IF($L$2="Yes",IF(SUMIFS('DATA INPUT'!$E$3:$E$3000,'DATA INPUT'!$B$3:$B$3000,'Report Tables'!AD$1,'DATA INPUT'!$A$3:$A$3000,"&gt;="&amp;DATE(2019,6,1),'DATA INPUT'!$A$3:$A$3000,"&lt;"&amp;DATE(2019,6,31))=0,#N/A,(SUMIFS('DATA INPUT'!$E$3:$E$3000,'DATA INPUT'!$B$3:$B$3000,'Report Tables'!AD$1,'DATA INPUT'!$A$3:$A$3000,"&gt;="&amp;DATE(2019,6,1),'DATA INPUT'!$A$3:$A$3000,"&lt;"&amp;DATE(2019,6,31)))),IF(SUMIFS('DATA INPUT'!$E$3:$E$3000,'DATA INPUT'!$B$3:$B$3000,'Report Tables'!AD$1,'DATA INPUT'!$A$3:$A$3000,"&gt;="&amp;DATE(2019,6,1),'DATA INPUT'!$A$3:$A$3000,"&lt;"&amp;DATE(2019,6,31),'DATA INPUT'!$F$3:$F$3000,"&lt;&gt;*Exclude*")=0,#N/A,(SUMIFS('DATA INPUT'!$E$3:$E$3000,'DATA INPUT'!$B$3:$B$3000,'Report Tables'!AD$1,'DATA INPUT'!$A$3:$A$3000,"&gt;="&amp;DATE(2019,6,1),'DATA INPUT'!$A$3:$A$3000,"&lt;"&amp;DATE(2019,6,31),'DATA INPUT'!$F$3:$F$3000,"&lt;&gt;*Exclude*"))))</f>
        <v>#N/A</v>
      </c>
      <c r="AE32" s="136" t="e">
        <f>IF($L$2="Yes",IF(SUMIFS('DATA INPUT'!$E$3:$E$3000,'DATA INPUT'!$B$3:$B$3000,'Report Tables'!AE$1,'DATA INPUT'!$A$3:$A$3000,"&gt;="&amp;DATE(2019,6,1),'DATA INPUT'!$A$3:$A$3000,"&lt;"&amp;DATE(2019,6,31))=0,#N/A,(SUMIFS('DATA INPUT'!$E$3:$E$3000,'DATA INPUT'!$B$3:$B$3000,'Report Tables'!AE$1,'DATA INPUT'!$A$3:$A$3000,"&gt;="&amp;DATE(2019,6,1),'DATA INPUT'!$A$3:$A$3000,"&lt;"&amp;DATE(2019,6,31)))),IF(SUMIFS('DATA INPUT'!$E$3:$E$3000,'DATA INPUT'!$B$3:$B$3000,'Report Tables'!AE$1,'DATA INPUT'!$A$3:$A$3000,"&gt;="&amp;DATE(2019,6,1),'DATA INPUT'!$A$3:$A$3000,"&lt;"&amp;DATE(2019,6,31),'DATA INPUT'!$F$3:$F$3000,"&lt;&gt;*Exclude*")=0,#N/A,(SUMIFS('DATA INPUT'!$E$3:$E$3000,'DATA INPUT'!$B$3:$B$3000,'Report Tables'!AE$1,'DATA INPUT'!$A$3:$A$3000,"&gt;="&amp;DATE(2019,6,1),'DATA INPUT'!$A$3:$A$3000,"&lt;"&amp;DATE(2019,6,31),'DATA INPUT'!$F$3:$F$3000,"&lt;&gt;*Exclude*"))))</f>
        <v>#N/A</v>
      </c>
      <c r="AF32" s="136" t="e">
        <f>IF($L$2="Yes",IF(SUMIFS('DATA INPUT'!$E$3:$E$3000,'DATA INPUT'!$B$3:$B$3000,'Report Tables'!AF$1,'DATA INPUT'!$A$3:$A$3000,"&gt;="&amp;DATE(2019,6,1),'DATA INPUT'!$A$3:$A$3000,"&lt;"&amp;DATE(2019,6,31))=0,#N/A,(SUMIFS('DATA INPUT'!$E$3:$E$3000,'DATA INPUT'!$B$3:$B$3000,'Report Tables'!AF$1,'DATA INPUT'!$A$3:$A$3000,"&gt;="&amp;DATE(2019,6,1),'DATA INPUT'!$A$3:$A$3000,"&lt;"&amp;DATE(2019,6,31)))),IF(SUMIFS('DATA INPUT'!$E$3:$E$3000,'DATA INPUT'!$B$3:$B$3000,'Report Tables'!AF$1,'DATA INPUT'!$A$3:$A$3000,"&gt;="&amp;DATE(2019,6,1),'DATA INPUT'!$A$3:$A$3000,"&lt;"&amp;DATE(2019,6,31),'DATA INPUT'!$F$3:$F$3000,"&lt;&gt;*Exclude*")=0,#N/A,(SUMIFS('DATA INPUT'!$E$3:$E$3000,'DATA INPUT'!$B$3:$B$3000,'Report Tables'!AF$1,'DATA INPUT'!$A$3:$A$3000,"&gt;="&amp;DATE(2019,6,1),'DATA INPUT'!$A$3:$A$3000,"&lt;"&amp;DATE(2019,6,31),'DATA INPUT'!$F$3:$F$3000,"&lt;&gt;*Exclude*"))))</f>
        <v>#N/A</v>
      </c>
      <c r="AG32" s="136" t="e">
        <f>IF($L$2="Yes",IF(SUMIFS('DATA INPUT'!$E$3:$E$3000,'DATA INPUT'!$B$3:$B$3000,'Report Tables'!AG$1,'DATA INPUT'!$A$3:$A$3000,"&gt;="&amp;DATE(2019,6,1),'DATA INPUT'!$A$3:$A$3000,"&lt;"&amp;DATE(2019,6,31))=0,#N/A,(SUMIFS('DATA INPUT'!$E$3:$E$3000,'DATA INPUT'!$B$3:$B$3000,'Report Tables'!AG$1,'DATA INPUT'!$A$3:$A$3000,"&gt;="&amp;DATE(2019,6,1),'DATA INPUT'!$A$3:$A$3000,"&lt;"&amp;DATE(2019,6,31)))),IF(SUMIFS('DATA INPUT'!$E$3:$E$3000,'DATA INPUT'!$B$3:$B$3000,'Report Tables'!AG$1,'DATA INPUT'!$A$3:$A$3000,"&gt;="&amp;DATE(2019,6,1),'DATA INPUT'!$A$3:$A$3000,"&lt;"&amp;DATE(2019,6,31),'DATA INPUT'!$F$3:$F$3000,"&lt;&gt;*Exclude*")=0,#N/A,(SUMIFS('DATA INPUT'!$E$3:$E$3000,'DATA INPUT'!$B$3:$B$3000,'Report Tables'!AG$1,'DATA INPUT'!$A$3:$A$3000,"&gt;="&amp;DATE(2019,6,1),'DATA INPUT'!$A$3:$A$3000,"&lt;"&amp;DATE(2019,6,31),'DATA INPUT'!$F$3:$F$3000,"&lt;&gt;*Exclude*"))))</f>
        <v>#N/A</v>
      </c>
      <c r="AH32" s="136" t="e">
        <f>IF($L$2="Yes",IF(SUMIFS('DATA INPUT'!$E$3:$E$3000,'DATA INPUT'!$B$3:$B$3000,'Report Tables'!AH$1,'DATA INPUT'!$A$3:$A$3000,"&gt;="&amp;DATE(2019,6,1),'DATA INPUT'!$A$3:$A$3000,"&lt;"&amp;DATE(2019,6,31))=0,#N/A,(SUMIFS('DATA INPUT'!$E$3:$E$3000,'DATA INPUT'!$B$3:$B$3000,'Report Tables'!AH$1,'DATA INPUT'!$A$3:$A$3000,"&gt;="&amp;DATE(2019,6,1),'DATA INPUT'!$A$3:$A$3000,"&lt;"&amp;DATE(2019,6,31)))),IF(SUMIFS('DATA INPUT'!$E$3:$E$3000,'DATA INPUT'!$B$3:$B$3000,'Report Tables'!AH$1,'DATA INPUT'!$A$3:$A$3000,"&gt;="&amp;DATE(2019,6,1),'DATA INPUT'!$A$3:$A$3000,"&lt;"&amp;DATE(2019,6,31),'DATA INPUT'!$F$3:$F$3000,"&lt;&gt;*Exclude*")=0,#N/A,(SUMIFS('DATA INPUT'!$E$3:$E$3000,'DATA INPUT'!$B$3:$B$3000,'Report Tables'!AH$1,'DATA INPUT'!$A$3:$A$3000,"&gt;="&amp;DATE(2019,6,1),'DATA INPUT'!$A$3:$A$3000,"&lt;"&amp;DATE(2019,6,31),'DATA INPUT'!$F$3:$F$3000,"&lt;&gt;*Exclude*"))))</f>
        <v>#N/A</v>
      </c>
      <c r="AI32" s="136" t="e">
        <f t="shared" si="0"/>
        <v>#N/A</v>
      </c>
      <c r="AJ32" s="136" t="e">
        <f>IF($L$2="Yes",IF(SUMIFS('DATA INPUT'!$D$3:$D$3000,'DATA INPUT'!$A$3:$A$3000,"&gt;="&amp;DATE(2019,6,1),'DATA INPUT'!$A$3:$A$3000,"&lt;"&amp;DATE(2019,6,31),'DATA INPUT'!$G$3:$G$3000,"&lt;&gt;*School service*")=0,#N/A,(SUMIFS('DATA INPUT'!$D$3:$D$3000,'DATA INPUT'!$A$3:$A$3000,"&gt;="&amp;DATE(2019,6,1),'DATA INPUT'!$A$3:$A$3000,"&lt;"&amp;DATE(2019,6,31),'DATA INPUT'!$G$3:$G$3000,"&lt;&gt;*School service*"))),IF(SUMIFS('DATA INPUT'!$D$3:$D$3000,'DATA INPUT'!$A$3:$A$3000,"&gt;="&amp;DATE(2019,6,1),'DATA INPUT'!$A$3:$A$3000,"&lt;"&amp;DATE(2019,6,31),'DATA INPUT'!$F$3:$F$3000,"&lt;&gt;*Exclude*",'DATA INPUT'!$G$3:$G$3000,"&lt;&gt;*School service*")=0,#N/A,(SUMIFS('DATA INPUT'!$D$3:$D$3000,'DATA INPUT'!$A$3:$A$3000,"&gt;="&amp;DATE(2019,6,1),'DATA INPUT'!$A$3:$A$3000,"&lt;"&amp;DATE(2019,6,31),'DATA INPUT'!$F$3:$F$3000,"&lt;&gt;*Exclude*",'DATA INPUT'!$G$3:$G$3000,"&lt;&gt;*School service*"))))</f>
        <v>#N/A</v>
      </c>
      <c r="AK32" s="136" t="e">
        <f>AI32-AJ32</f>
        <v>#N/A</v>
      </c>
      <c r="AM32" s="117" t="e">
        <f>IF($L$2="Yes",IFERROR((SUMIFS('DATA INPUT'!$E$3:$E$3000,'DATA INPUT'!$B$3:$B$3000,'Report Tables'!AM$1,'DATA INPUT'!$A$3:$A$3000,"&gt;="&amp;DATE(2019,6,1),'DATA INPUT'!$A$3:$A$3000,"&lt;"&amp;DATE(2019,6,31)))/COUNTIFS('DATA INPUT'!$B$3:$B$3000,'Report Tables'!AM$1,'DATA INPUT'!$A$3:$A$3000,"&gt;="&amp;DATE(2019,6,1),'DATA INPUT'!$A$3:$A$3000,"&lt;"&amp;DATE(2019,6,31)),#N/A),IFERROR((SUMIFS('DATA INPUT'!$E$3:$E$3000,'DATA INPUT'!$B$3:$B$3000,'Report Tables'!AM$1,'DATA INPUT'!$A$3:$A$3000,"&gt;="&amp;DATE(2019,6,1),'DATA INPUT'!$A$3:$A$3000,"&lt;"&amp;DATE(2019,6,31),'DATA INPUT'!$F$3:$F$3000,"&lt;&gt;*Exclude*"))/(COUNTIFS('DATA INPUT'!$B$3:$B$3000,'Report Tables'!AM$1,'DATA INPUT'!$A$3:$A$3000,"&gt;="&amp;DATE(2019,6,1),'DATA INPUT'!$A$3:$A$3000,"&lt;"&amp;DATE(2019,6,31),'DATA INPUT'!$F$3:$F$3000,"&lt;&gt;*Exclude*")),#N/A))</f>
        <v>#N/A</v>
      </c>
      <c r="AN32" s="117" t="e">
        <f>IF($L$2="Yes",IFERROR((SUMIFS('DATA INPUT'!$E$3:$E$3000,'DATA INPUT'!$B$3:$B$3000,'Report Tables'!AN$1,'DATA INPUT'!$A$3:$A$3000,"&gt;="&amp;DATE(2019,6,1),'DATA INPUT'!$A$3:$A$3000,"&lt;"&amp;DATE(2019,6,31)))/COUNTIFS('DATA INPUT'!$B$3:$B$3000,'Report Tables'!AN$1,'DATA INPUT'!$A$3:$A$3000,"&gt;="&amp;DATE(2019,6,1),'DATA INPUT'!$A$3:$A$3000,"&lt;"&amp;DATE(2019,6,31)),#N/A),IFERROR((SUMIFS('DATA INPUT'!$E$3:$E$3000,'DATA INPUT'!$B$3:$B$3000,'Report Tables'!AN$1,'DATA INPUT'!$A$3:$A$3000,"&gt;="&amp;DATE(2019,6,1),'DATA INPUT'!$A$3:$A$3000,"&lt;"&amp;DATE(2019,6,31),'DATA INPUT'!$F$3:$F$3000,"&lt;&gt;*Exclude*"))/(COUNTIFS('DATA INPUT'!$B$3:$B$3000,'Report Tables'!AN$1,'DATA INPUT'!$A$3:$A$3000,"&gt;="&amp;DATE(2019,6,1),'DATA INPUT'!$A$3:$A$3000,"&lt;"&amp;DATE(2019,6,31),'DATA INPUT'!$F$3:$F$3000,"&lt;&gt;*Exclude*")),#N/A))</f>
        <v>#N/A</v>
      </c>
      <c r="AO32" s="117" t="e">
        <f>IF($L$2="Yes",IFERROR((SUMIFS('DATA INPUT'!$E$3:$E$3000,'DATA INPUT'!$B$3:$B$3000,'Report Tables'!AO$1,'DATA INPUT'!$A$3:$A$3000,"&gt;="&amp;DATE(2019,6,1),'DATA INPUT'!$A$3:$A$3000,"&lt;"&amp;DATE(2019,6,31)))/COUNTIFS('DATA INPUT'!$B$3:$B$3000,'Report Tables'!AO$1,'DATA INPUT'!$A$3:$A$3000,"&gt;="&amp;DATE(2019,6,1),'DATA INPUT'!$A$3:$A$3000,"&lt;"&amp;DATE(2019,6,31)),#N/A),IFERROR((SUMIFS('DATA INPUT'!$E$3:$E$3000,'DATA INPUT'!$B$3:$B$3000,'Report Tables'!AO$1,'DATA INPUT'!$A$3:$A$3000,"&gt;="&amp;DATE(2019,6,1),'DATA INPUT'!$A$3:$A$3000,"&lt;"&amp;DATE(2019,6,31),'DATA INPUT'!$F$3:$F$3000,"&lt;&gt;*Exclude*"))/(COUNTIFS('DATA INPUT'!$B$3:$B$3000,'Report Tables'!AO$1,'DATA INPUT'!$A$3:$A$3000,"&gt;="&amp;DATE(2019,6,1),'DATA INPUT'!$A$3:$A$3000,"&lt;"&amp;DATE(2019,6,31),'DATA INPUT'!$F$3:$F$3000,"&lt;&gt;*Exclude*")),#N/A))</f>
        <v>#N/A</v>
      </c>
      <c r="AP32" s="117" t="e">
        <f>IF($L$2="Yes",IFERROR((SUMIFS('DATA INPUT'!$E$3:$E$3000,'DATA INPUT'!$B$3:$B$3000,'Report Tables'!AP$1,'DATA INPUT'!$A$3:$A$3000,"&gt;="&amp;DATE(2019,6,1),'DATA INPUT'!$A$3:$A$3000,"&lt;"&amp;DATE(2019,6,31)))/COUNTIFS('DATA INPUT'!$B$3:$B$3000,'Report Tables'!AP$1,'DATA INPUT'!$A$3:$A$3000,"&gt;="&amp;DATE(2019,6,1),'DATA INPUT'!$A$3:$A$3000,"&lt;"&amp;DATE(2019,6,31)),#N/A),IFERROR((SUMIFS('DATA INPUT'!$E$3:$E$3000,'DATA INPUT'!$B$3:$B$3000,'Report Tables'!AP$1,'DATA INPUT'!$A$3:$A$3000,"&gt;="&amp;DATE(2019,6,1),'DATA INPUT'!$A$3:$A$3000,"&lt;"&amp;DATE(2019,6,31),'DATA INPUT'!$F$3:$F$3000,"&lt;&gt;*Exclude*"))/(COUNTIFS('DATA INPUT'!$B$3:$B$3000,'Report Tables'!AP$1,'DATA INPUT'!$A$3:$A$3000,"&gt;="&amp;DATE(2019,6,1),'DATA INPUT'!$A$3:$A$3000,"&lt;"&amp;DATE(2019,6,31),'DATA INPUT'!$F$3:$F$3000,"&lt;&gt;*Exclude*")),#N/A))</f>
        <v>#N/A</v>
      </c>
      <c r="AQ32" s="117" t="e">
        <f>IF($L$2="Yes",IFERROR((SUMIFS('DATA INPUT'!$E$3:$E$3000,'DATA INPUT'!$B$3:$B$3000,'Report Tables'!AQ$1,'DATA INPUT'!$A$3:$A$3000,"&gt;="&amp;DATE(2019,6,1),'DATA INPUT'!$A$3:$A$3000,"&lt;"&amp;DATE(2019,6,31)))/COUNTIFS('DATA INPUT'!$B$3:$B$3000,'Report Tables'!AQ$1,'DATA INPUT'!$A$3:$A$3000,"&gt;="&amp;DATE(2019,6,1),'DATA INPUT'!$A$3:$A$3000,"&lt;"&amp;DATE(2019,6,31)),#N/A),IFERROR((SUMIFS('DATA INPUT'!$E$3:$E$3000,'DATA INPUT'!$B$3:$B$3000,'Report Tables'!AQ$1,'DATA INPUT'!$A$3:$A$3000,"&gt;="&amp;DATE(2019,6,1),'DATA INPUT'!$A$3:$A$3000,"&lt;"&amp;DATE(2019,6,31),'DATA INPUT'!$F$3:$F$3000,"&lt;&gt;*Exclude*"))/(COUNTIFS('DATA INPUT'!$B$3:$B$3000,'Report Tables'!AQ$1,'DATA INPUT'!$A$3:$A$3000,"&gt;="&amp;DATE(2019,6,1),'DATA INPUT'!$A$3:$A$3000,"&lt;"&amp;DATE(2019,6,31),'DATA INPUT'!$F$3:$F$3000,"&lt;&gt;*Exclude*")),#N/A))</f>
        <v>#N/A</v>
      </c>
      <c r="AR32" s="117" t="e">
        <f>IF($L$2="Yes",IFERROR((SUMIFS('DATA INPUT'!$E$3:$E$3000,'DATA INPUT'!$B$3:$B$3000,'Report Tables'!AR$1,'DATA INPUT'!$A$3:$A$3000,"&gt;="&amp;DATE(2019,6,1),'DATA INPUT'!$A$3:$A$3000,"&lt;"&amp;DATE(2019,6,31)))/COUNTIFS('DATA INPUT'!$B$3:$B$3000,'Report Tables'!AR$1,'DATA INPUT'!$A$3:$A$3000,"&gt;="&amp;DATE(2019,6,1),'DATA INPUT'!$A$3:$A$3000,"&lt;"&amp;DATE(2019,6,31)),#N/A),IFERROR((SUMIFS('DATA INPUT'!$E$3:$E$3000,'DATA INPUT'!$B$3:$B$3000,'Report Tables'!AR$1,'DATA INPUT'!$A$3:$A$3000,"&gt;="&amp;DATE(2019,6,1),'DATA INPUT'!$A$3:$A$3000,"&lt;"&amp;DATE(2019,6,31),'DATA INPUT'!$F$3:$F$3000,"&lt;&gt;*Exclude*"))/(COUNTIFS('DATA INPUT'!$B$3:$B$3000,'Report Tables'!AR$1,'DATA INPUT'!$A$3:$A$3000,"&gt;="&amp;DATE(2019,6,1),'DATA INPUT'!$A$3:$A$3000,"&lt;"&amp;DATE(2019,6,31),'DATA INPUT'!$F$3:$F$3000,"&lt;&gt;*Exclude*")),#N/A))</f>
        <v>#N/A</v>
      </c>
      <c r="AS32" s="117" t="e">
        <f>IF($L$2="Yes",IFERROR((SUMIFS('DATA INPUT'!$E$3:$E$3000,'DATA INPUT'!$B$3:$B$3000,'Report Tables'!AS$1,'DATA INPUT'!$A$3:$A$3000,"&gt;="&amp;DATE(2019,6,1),'DATA INPUT'!$A$3:$A$3000,"&lt;"&amp;DATE(2019,6,31)))/COUNTIFS('DATA INPUT'!$B$3:$B$3000,'Report Tables'!AS$1,'DATA INPUT'!$A$3:$A$3000,"&gt;="&amp;DATE(2019,6,1),'DATA INPUT'!$A$3:$A$3000,"&lt;"&amp;DATE(2019,6,31)),#N/A),IFERROR((SUMIFS('DATA INPUT'!$E$3:$E$3000,'DATA INPUT'!$B$3:$B$3000,'Report Tables'!AS$1,'DATA INPUT'!$A$3:$A$3000,"&gt;="&amp;DATE(2019,6,1),'DATA INPUT'!$A$3:$A$3000,"&lt;"&amp;DATE(2019,6,31),'DATA INPUT'!$F$3:$F$3000,"&lt;&gt;*Exclude*"))/(COUNTIFS('DATA INPUT'!$B$3:$B$3000,'Report Tables'!AS$1,'DATA INPUT'!$A$3:$A$3000,"&gt;="&amp;DATE(2019,6,1),'DATA INPUT'!$A$3:$A$3000,"&lt;"&amp;DATE(2019,6,31),'DATA INPUT'!$F$3:$F$3000,"&lt;&gt;*Exclude*")),#N/A))</f>
        <v>#N/A</v>
      </c>
      <c r="AT32" s="117" t="e">
        <f>IF($L$2="Yes",IFERROR((SUMIFS('DATA INPUT'!$E$3:$E$3000,'DATA INPUT'!$B$3:$B$3000,'Report Tables'!AT$1,'DATA INPUT'!$A$3:$A$3000,"&gt;="&amp;DATE(2019,6,1),'DATA INPUT'!$A$3:$A$3000,"&lt;"&amp;DATE(2019,6,31)))/COUNTIFS('DATA INPUT'!$B$3:$B$3000,'Report Tables'!AT$1,'DATA INPUT'!$A$3:$A$3000,"&gt;="&amp;DATE(2019,6,1),'DATA INPUT'!$A$3:$A$3000,"&lt;"&amp;DATE(2019,6,31)),#N/A),IFERROR((SUMIFS('DATA INPUT'!$E$3:$E$3000,'DATA INPUT'!$B$3:$B$3000,'Report Tables'!AT$1,'DATA INPUT'!$A$3:$A$3000,"&gt;="&amp;DATE(2019,6,1),'DATA INPUT'!$A$3:$A$3000,"&lt;"&amp;DATE(2019,6,31),'DATA INPUT'!$F$3:$F$3000,"&lt;&gt;*Exclude*"))/(COUNTIFS('DATA INPUT'!$B$3:$B$3000,'Report Tables'!AT$1,'DATA INPUT'!$A$3:$A$3000,"&gt;="&amp;DATE(2019,6,1),'DATA INPUT'!$A$3:$A$3000,"&lt;"&amp;DATE(2019,6,31),'DATA INPUT'!$F$3:$F$3000,"&lt;&gt;*Exclude*")),#N/A))</f>
        <v>#N/A</v>
      </c>
      <c r="AU32" s="117" t="e">
        <f t="shared" si="1"/>
        <v>#N/A</v>
      </c>
      <c r="AV32" s="117" t="e">
        <f>IF($L$2="Yes",IFERROR((SUMIFS('DATA INPUT'!$D$3:$D$3000,'DATA INPUT'!$A$3:$A$3000,"&gt;="&amp;DATE(2019,6,1),'DATA INPUT'!$A$3:$A$3000,"&lt;"&amp;DATE(2019,6,31),'DATA INPUT'!$G$3:$G$3000,"&lt;&gt;*School service*"))/COUNTIFS('DATA INPUT'!$A$3:$A$3000,"&gt;="&amp;DATE(2019,6,1),'DATA INPUT'!$A$3:$A$3000,"&lt;"&amp;DATE(2019,6,31),'DATA INPUT'!$G$3:$G$3000,"&lt;&gt;*School service*",'DATA INPUT'!$D$3:$D$3000,"&lt;&gt;"&amp;""),#N/A),IFERROR((SUMIFS('DATA INPUT'!$D$3:$D$3000,'DATA INPUT'!$A$3:$A$3000,"&gt;="&amp;DATE(2019,6,1),'DATA INPUT'!$A$3:$A$3000,"&lt;"&amp;DATE(2019,6,31),'DATA INPUT'!$F$3:$F$3000,"&lt;&gt;*Exclude*",'DATA INPUT'!$G$3:$G$3000,"&lt;&gt;*School service*"))/(COUNTIFS('DATA INPUT'!$A$3:$A$3000,"&gt;="&amp;DATE(2019,6,1),'DATA INPUT'!$A$3:$A$3000,"&lt;"&amp;DATE(2019,6,31),'DATA INPUT'!$F$3:$F$3000,"&lt;&gt;*Exclude*",'DATA INPUT'!$G$3:$G$3000,"&lt;&gt;*School service*",'DATA INPUT'!$D$3:$D$3000,"&lt;&gt;"&amp;"")),#N/A))</f>
        <v>#N/A</v>
      </c>
      <c r="AW32" s="117" t="e">
        <f t="shared" si="2"/>
        <v>#N/A</v>
      </c>
      <c r="AX32" s="117" t="e">
        <f>IF($L$2="Yes",IFERROR((SUMIFS('DATA INPUT'!$E$3:$E$3000,'DATA INPUT'!$B$3:$B$3000,'Report Tables'!AX$1,'DATA INPUT'!$A$3:$A$3000,"&gt;="&amp;DATE(2019,6,1),'DATA INPUT'!$A$3:$A$3000,"&lt;"&amp;DATE(2019,6,31)))/COUNTIFS('DATA INPUT'!$B$3:$B$3000,'Report Tables'!AX$1,'DATA INPUT'!$A$3:$A$3000,"&gt;="&amp;DATE(2019,6,1),'DATA INPUT'!$A$3:$A$3000,"&lt;"&amp;DATE(2019,6,31)),#N/A),IFERROR((SUMIFS('DATA INPUT'!$E$3:$E$3000,'DATA INPUT'!$B$3:$B$3000,'Report Tables'!AX$1,'DATA INPUT'!$A$3:$A$3000,"&gt;="&amp;DATE(2019,6,1),'DATA INPUT'!$A$3:$A$3000,"&lt;"&amp;DATE(2019,6,31),'DATA INPUT'!$F$3:$F$3000,"&lt;&gt;*Exclude*"))/(COUNTIFS('DATA INPUT'!$B$3:$B$3000,'Report Tables'!AX$1,'DATA INPUT'!$A$3:$A$3000,"&gt;="&amp;DATE(2019,6,1),'DATA INPUT'!$A$3:$A$3000,"&lt;"&amp;DATE(2019,6,31),'DATA INPUT'!$F$3:$F$3000,"&lt;&gt;*Exclude*")),#N/A))</f>
        <v>#N/A</v>
      </c>
      <c r="AY32" s="117" t="e">
        <f>IF($L$2="Yes",IFERROR((SUMIFS('DATA INPUT'!$D$3:$D$3000,'DATA INPUT'!$B$3:$B$3000,'Report Tables'!AX$1,'DATA INPUT'!$A$3:$A$3000,"&gt;="&amp;DATE(2019,6,1),'DATA INPUT'!$A$3:$A$3000,"&lt;"&amp;DATE(2019,6,31)))/COUNTIFS('DATA INPUT'!$B$3:$B$3000,'Report Tables'!AX$1,'DATA INPUT'!$A$3:$A$3000,"&gt;="&amp;DATE(2019,6,1),'DATA INPUT'!$A$3:$A$3000,"&lt;"&amp;DATE(2019,6,31)),#N/A),IFERROR((SUMIFS('DATA INPUT'!$D$3:$D$3000,'DATA INPUT'!$B$3:$B$3000,'Report Tables'!AX$1,'DATA INPUT'!$A$3:$A$3000,"&gt;="&amp;DATE(2019,6,1),'DATA INPUT'!$A$3:$A$3000,"&lt;"&amp;DATE(2019,6,31),'DATA INPUT'!$F$3:$F$3000,"&lt;&gt;*Exclude*"))/(COUNTIFS('DATA INPUT'!$B$3:$B$3000,'Report Tables'!AX$1,'DATA INPUT'!$A$3:$A$3000,"&gt;="&amp;DATE(2019,6,1),'DATA INPUT'!$A$3:$A$3000,"&lt;"&amp;DATE(2019,6,31),'DATA INPUT'!$F$3:$F$3000,"&lt;&gt;*Exclude*")),#N/A))</f>
        <v>#N/A</v>
      </c>
      <c r="AZ32" s="117" t="e">
        <f>IF($L$2="Yes",IFERROR((SUMIFS('DATA INPUT'!$C$3:$C$3000,'DATA INPUT'!$B$3:$B$3000,'Report Tables'!AX$1,'DATA INPUT'!$A$3:$A$3000,"&gt;="&amp;DATE(2019,6,1),'DATA INPUT'!$A$3:$A$3000,"&lt;"&amp;DATE(2019,6,31)))/COUNTIFS('DATA INPUT'!$B$3:$B$3000,'Report Tables'!AX$1,'DATA INPUT'!$A$3:$A$3000,"&gt;="&amp;DATE(2019,6,1),'DATA INPUT'!$A$3:$A$3000,"&lt;"&amp;DATE(2019,6,31)),#N/A),IFERROR((SUMIFS('DATA INPUT'!$C$3:$C$3000,'DATA INPUT'!$B$3:$B$3000,'Report Tables'!AX$1,'DATA INPUT'!$A$3:$A$3000,"&gt;="&amp;DATE(2019,6,1),'DATA INPUT'!$A$3:$A$3000,"&lt;"&amp;DATE(2019,6,31),'DATA INPUT'!$F$3:$F$3000,"&lt;&gt;*Exclude*"))/(COUNTIFS('DATA INPUT'!$B$3:$B$3000,'Report Tables'!AX$1,'DATA INPUT'!$A$3:$A$3000,"&gt;="&amp;DATE(2019,6,1),'DATA INPUT'!$A$3:$A$3000,"&lt;"&amp;DATE(2019,6,31),'DATA INPUT'!$F$3:$F$3000,"&lt;&gt;*Exclude*")),#N/A))</f>
        <v>#N/A</v>
      </c>
    </row>
    <row r="33" spans="1:52" x14ac:dyDescent="0.3">
      <c r="A33" s="95" t="e">
        <f>VLOOKUP(B33,Information!$C$8:$F$15,4,FALSE)</f>
        <v>#N/A</v>
      </c>
      <c r="B33" s="46">
        <f>$B$9</f>
        <v>0</v>
      </c>
      <c r="C33" s="57" t="e">
        <f>IF($L$2="Yes",IFERROR((SUMIFS('DATA INPUT'!$E$3:$E$3000,'DATA INPUT'!$A$3:$A$3000,"&gt;="&amp;DATE(2017,1,1),'DATA INPUT'!$A$3:$A$3000,"&lt;="&amp;DATE(2017,12,31),'DATA INPUT'!$B$3:$B$3000,$B33))/(COUNTIFS('DATA INPUT'!$A$3:$A$3000,"&gt;="&amp;DATE(2017,1,1),'DATA INPUT'!$A$3:$A$3000,"&lt;="&amp;DATE(2017,12,31),'DATA INPUT'!$B$3:$B$3000,$B33)),#N/A),IFERROR((SUMIFS('DATA INPUT'!$E$3:$E$3000,'DATA INPUT'!$A$3:$A$3000,"&gt;="&amp;DATE(2017,1,1),'DATA INPUT'!$A$3:$A$3000,"&lt;="&amp;DATE(2017,12,31),'DATA INPUT'!$B$3:$B$3000,$B33,'DATA INPUT'!$F$3:$F$3000,"&lt;&gt;*Exclude*"))/(COUNTIFS('DATA INPUT'!$A$3:$A$3000,"&gt;="&amp;DATE(2017,1,1),'DATA INPUT'!$A$3:$A$3000,"&lt;="&amp;DATE(2017,12,31),'DATA INPUT'!$B$3:$B$3000,$B33,'DATA INPUT'!$F$3:$F$3000,"&lt;&gt;*Exclude*")),#N/A))</f>
        <v>#N/A</v>
      </c>
      <c r="D33" s="57" t="e">
        <f>IF($L$2="Yes",IFERROR((SUMIFS('DATA INPUT'!$E$3:$E$3000,'DATA INPUT'!$A$3:$A$3000,"&gt;="&amp;DATE(2018,1,1),'DATA INPUT'!$A$3:$A$3000,"&lt;="&amp;DATE(2018,12,31),'DATA INPUT'!$B$3:$B$3000,$B33))/(COUNTIFS('DATA INPUT'!$A$3:$A$3000,"&gt;="&amp;DATE(2018,1,1),'DATA INPUT'!$A$3:$A$3000,"&lt;="&amp;DATE(2018,12,31),'DATA INPUT'!$B$3:$B$3000,$B33)),#N/A),IFERROR((SUMIFS('DATA INPUT'!$E$3:$E$3000,'DATA INPUT'!$A$3:$A$3000,"&gt;="&amp;DATE(2018,1,1),'DATA INPUT'!$A$3:$A$3000,"&lt;="&amp;DATE(2018,12,31),'DATA INPUT'!$B$3:$B$3000,$B33,'DATA INPUT'!$F$3:$F$3000,"&lt;&gt;*Exclude*"))/(COUNTIFS('DATA INPUT'!$A$3:$A$3000,"&gt;="&amp;DATE(2018,1,1),'DATA INPUT'!$A$3:$A$3000,"&lt;="&amp;DATE(2018,12,31),'DATA INPUT'!$B$3:$B$3000,$B33,'DATA INPUT'!$F$3:$F$3000,"&lt;&gt;*Exclude*")),#N/A))</f>
        <v>#N/A</v>
      </c>
      <c r="E33" s="57" t="e">
        <f>IF($L$2="Yes",IFERROR((SUMIFS('DATA INPUT'!$E$3:$E$3000,'DATA INPUT'!$A$3:$A$3000,"&gt;="&amp;DATE(2019,1,1),'DATA INPUT'!$A$3:$A$3000,"&lt;="&amp;DATE(2019,12,31),'DATA INPUT'!$B$3:$B$3000,$B33))/(COUNTIFS('DATA INPUT'!$A$3:$A$3000,"&gt;="&amp;DATE(2019,1,1),'DATA INPUT'!$A$3:$A$3000,"&lt;="&amp;DATE(2019,12,31),'DATA INPUT'!$B$3:$B$3000,$B33)),#N/A),IFERROR((SUMIFS('DATA INPUT'!$E$3:$E$3000,'DATA INPUT'!$A$3:$A$3000,"&gt;="&amp;DATE(2019,1,1),'DATA INPUT'!$A$3:$A$3000,"&lt;="&amp;DATE(2019,12,31),'DATA INPUT'!$B$3:$B$3000,$B33,'DATA INPUT'!$F$3:$F$3000,"&lt;&gt;*Exclude*"))/(COUNTIFS('DATA INPUT'!$A$3:$A$3000,"&gt;="&amp;DATE(2019,1,1),'DATA INPUT'!$A$3:$A$3000,"&lt;="&amp;DATE(2019,12,31),'DATA INPUT'!$B$3:$B$3000,$B33,'DATA INPUT'!$F$3:$F$3000,"&lt;&gt;*Exclude*")),#N/A))</f>
        <v>#N/A</v>
      </c>
      <c r="F33" s="57" t="e">
        <f>IF($L$2="Yes",IFERROR((SUMIFS('DATA INPUT'!$E$3:$E$3000,'DATA INPUT'!$A$3:$A$3000,"&gt;="&amp;DATE(2020,1,1),'DATA INPUT'!$A$3:$A$3000,"&lt;="&amp;DATE(2020,12,31),'DATA INPUT'!$B$3:$B$3000,$B33))/(COUNTIFS('DATA INPUT'!$A$3:$A$3000,"&gt;="&amp;DATE(2020,1,1),'DATA INPUT'!$A$3:$A$3000,"&lt;="&amp;DATE(2020,12,31),'DATA INPUT'!$B$3:$B$3000,$B33)),#N/A),IFERROR((SUMIFS('DATA INPUT'!$E$3:$E$3000,'DATA INPUT'!$A$3:$A$3000,"&gt;="&amp;DATE(2020,1,1),'DATA INPUT'!$A$3:$A$3000,"&lt;="&amp;DATE(2020,12,31),'DATA INPUT'!$B$3:$B$3000,$B33,'DATA INPUT'!$F$3:$F$3000,"&lt;&gt;*Exclude*"))/(COUNTIFS('DATA INPUT'!$A$3:$A$3000,"&gt;="&amp;DATE(2020,1,1),'DATA INPUT'!$A$3:$A$3000,"&lt;="&amp;DATE(2020,12,31),'DATA INPUT'!$B$3:$B$3000,$B33,'DATA INPUT'!$F$3:$F$3000,"&lt;&gt;*Exclude*")),#N/A))</f>
        <v>#N/A</v>
      </c>
      <c r="G33" s="57" t="e">
        <f>IF($L$2="Yes",IFERROR((SUMIFS('DATA INPUT'!$E$3:$E$3000,'DATA INPUT'!$A$3:$A$3000,"&gt;="&amp;DATE(2021,1,1),'DATA INPUT'!$A$3:$A$3000,"&lt;="&amp;DATE(2021,12,31),'DATA INPUT'!$B$3:$B$3000,$B33))/(COUNTIFS('DATA INPUT'!$A$3:$A$3000,"&gt;="&amp;DATE(2021,1,1),'DATA INPUT'!$A$3:$A$3000,"&lt;="&amp;DATE(2021,12,31),'DATA INPUT'!$B$3:$B$3000,$B33)),#N/A),IFERROR((SUMIFS('DATA INPUT'!$E$3:$E$3000,'DATA INPUT'!$A$3:$A$3000,"&gt;="&amp;DATE(2021,1,1),'DATA INPUT'!$A$3:$A$3000,"&lt;="&amp;DATE(2021,12,31),'DATA INPUT'!$B$3:$B$3000,$B33,'DATA INPUT'!$F$3:$F$3000,"&lt;&gt;*Exclude*"))/(COUNTIFS('DATA INPUT'!$A$3:$A$3000,"&gt;="&amp;DATE(2021,1,1),'DATA INPUT'!$A$3:$A$3000,"&lt;="&amp;DATE(2021,12,31),'DATA INPUT'!$B$3:$B$3000,$B33,'DATA INPUT'!$F$3:$F$3000,"&lt;&gt;*Exclude*")),#N/A))</f>
        <v>#N/A</v>
      </c>
      <c r="H33" s="57" t="e">
        <f>IF($L$2="Yes",IFERROR((SUMIFS('DATA INPUT'!$E$3:$E$3000,'DATA INPUT'!$A$3:$A$3000,"&gt;="&amp;DATE(2022,1,1),'DATA INPUT'!$A$3:$A$3000,"&lt;="&amp;DATE(2022,12,31),'DATA INPUT'!$B$3:$B$3000,$B33))/(COUNTIFS('DATA INPUT'!$A$3:$A$3000,"&gt;="&amp;DATE(2022,1,1),'DATA INPUT'!$A$3:$A$3000,"&lt;="&amp;DATE(2022,12,31),'DATA INPUT'!$B$3:$B$3000,$B33)),#N/A),IFERROR((SUMIFS('DATA INPUT'!$E$3:$E$3000,'DATA INPUT'!$A$3:$A$3000,"&gt;="&amp;DATE(2022,1,1),'DATA INPUT'!$A$3:$A$3000,"&lt;="&amp;DATE(2022,12,31),'DATA INPUT'!$B$3:$B$3000,$B33,'DATA INPUT'!$F$3:$F$3000,"&lt;&gt;*Exclude*"))/(COUNTIFS('DATA INPUT'!$A$3:$A$3000,"&gt;="&amp;DATE(2022,1,1),'DATA INPUT'!$A$3:$A$3000,"&lt;="&amp;DATE(2022,12,31),'DATA INPUT'!$B$3:$B$3000,$B33,'DATA INPUT'!$F$3:$F$3000,"&lt;&gt;*Exclude*")),#N/A))</f>
        <v>#N/A</v>
      </c>
      <c r="I33" s="57" t="e">
        <f>IF($L$2="Yes",IFERROR((SUMIFS('DATA INPUT'!$E$3:$E$3000,'DATA INPUT'!$A$3:$A$3000,"&gt;="&amp;DATE(2023,1,1),'DATA INPUT'!$A$3:$A$3000,"&lt;="&amp;DATE(2023,12,31),'DATA INPUT'!$B$3:$B$3000,$B33))/(COUNTIFS('DATA INPUT'!$A$3:$A$3000,"&gt;="&amp;DATE(2023,1,1),'DATA INPUT'!$A$3:$A$3000,"&lt;="&amp;DATE(2023,12,31),'DATA INPUT'!$B$3:$B$3000,$B33)),#N/A),IFERROR((SUMIFS('DATA INPUT'!$E$3:$E$3000,'DATA INPUT'!$A$3:$A$3000,"&gt;="&amp;DATE(2023,1,1),'DATA INPUT'!$A$3:$A$3000,"&lt;="&amp;DATE(2023,12,31),'DATA INPUT'!$B$3:$B$3000,$B33,'DATA INPUT'!$F$3:$F$3000,"&lt;&gt;*Exclude*"))/(COUNTIFS('DATA INPUT'!$A$3:$A$3000,"&gt;="&amp;DATE(2023,1,1),'DATA INPUT'!$A$3:$A$3000,"&lt;="&amp;DATE(2023,12,31),'DATA INPUT'!$B$3:$B$3000,$B33,'DATA INPUT'!$F$3:$F$3000,"&lt;&gt;*Exclude*")),#N/A))</f>
        <v>#N/A</v>
      </c>
      <c r="J33" s="57" t="e">
        <f>IF($L$2="Yes",IFERROR((SUMIFS('DATA INPUT'!$E$3:$E$3000,'DATA INPUT'!$A$3:$A$3000,"&gt;="&amp;DATE(2024,1,1),'DATA INPUT'!$A$3:$A$3000,"&lt;="&amp;DATE(2024,12,31),'DATA INPUT'!$B$3:$B$3000,$B33))/(COUNTIFS('DATA INPUT'!$A$3:$A$3000,"&gt;="&amp;DATE(2024,1,1),'DATA INPUT'!$A$3:$A$3000,"&lt;="&amp;DATE(2024,12,31),'DATA INPUT'!$B$3:$B$3000,$B33)),#N/A),IFERROR((SUMIFS('DATA INPUT'!$E$3:$E$3000,'DATA INPUT'!$A$3:$A$3000,"&gt;="&amp;DATE(2024,1,1),'DATA INPUT'!$A$3:$A$3000,"&lt;="&amp;DATE(2024,12,31),'DATA INPUT'!$B$3:$B$3000,$B33,'DATA INPUT'!$F$3:$F$3000,"&lt;&gt;*Exclude*"))/(COUNTIFS('DATA INPUT'!$A$3:$A$3000,"&gt;="&amp;DATE(2024,1,1),'DATA INPUT'!$A$3:$A$3000,"&lt;="&amp;DATE(2024,12,31),'DATA INPUT'!$B$3:$B$3000,$B33,'DATA INPUT'!$F$3:$F$3000,"&lt;&gt;*Exclude*")),#N/A))</f>
        <v>#N/A</v>
      </c>
      <c r="K33" s="57" t="e">
        <f>IF($L$2="Yes",IFERROR((SUMIFS('DATA INPUT'!$E$3:$E$3000,'DATA INPUT'!$A$3:$A$3000,"&gt;="&amp;DATE(2025,1,1),'DATA INPUT'!$A$3:$A$3000,"&lt;="&amp;DATE(2025,12,31),'DATA INPUT'!$B$3:$B$3000,$B33))/(COUNTIFS('DATA INPUT'!$A$3:$A$3000,"&gt;="&amp;DATE(2025,1,1),'DATA INPUT'!$A$3:$A$3000,"&lt;="&amp;DATE(2025,12,31),'DATA INPUT'!$B$3:$B$3000,$B33)),#N/A),IFERROR((SUMIFS('DATA INPUT'!$E$3:$E$3000,'DATA INPUT'!$A$3:$A$3000,"&gt;="&amp;DATE(2025,1,1),'DATA INPUT'!$A$3:$A$3000,"&lt;="&amp;DATE(2025,12,31),'DATA INPUT'!$B$3:$B$3000,$B33,'DATA INPUT'!$F$3:$F$3000,"&lt;&gt;*Exclude*"))/(COUNTIFS('DATA INPUT'!$A$3:$A$3000,"&gt;="&amp;DATE(2025,1,1),'DATA INPUT'!$A$3:$A$3000,"&lt;="&amp;DATE(2025,12,31),'DATA INPUT'!$B$3:$B$3000,$B33,'DATA INPUT'!$F$3:$F$3000,"&lt;&gt;*Exclude*")),#N/A))</f>
        <v>#N/A</v>
      </c>
      <c r="L33" s="69" t="str">
        <f t="shared" si="13"/>
        <v/>
      </c>
      <c r="Y33" s="149"/>
      <c r="Z33" s="149" t="s">
        <v>18</v>
      </c>
      <c r="AA33" s="136" t="e">
        <f>IF($L$2="Yes",IF(SUMIFS('DATA INPUT'!$E$3:$E$3000,'DATA INPUT'!$B$3:$B$3000,'Report Tables'!AA$1,'DATA INPUT'!$A$3:$A$3000,"&gt;="&amp;DATE(2019,7,1),'DATA INPUT'!$A$3:$A$3000,"&lt;"&amp;DATE(2019,7,31))=0,#N/A,(SUMIFS('DATA INPUT'!$E$3:$E$3000,'DATA INPUT'!$B$3:$B$3000,'Report Tables'!AA$1,'DATA INPUT'!$A$3:$A$3000,"&gt;="&amp;DATE(2019,7,1),'DATA INPUT'!$A$3:$A$3000,"&lt;"&amp;DATE(2019,7,31)))),IF(SUMIFS('DATA INPUT'!$E$3:$E$3000,'DATA INPUT'!$B$3:$B$3000,'Report Tables'!AA$1,'DATA INPUT'!$A$3:$A$3000,"&gt;="&amp;DATE(2019,7,1),'DATA INPUT'!$A$3:$A$3000,"&lt;"&amp;DATE(2019,7,31),'DATA INPUT'!$F$3:$F$3000,"&lt;&gt;*Exclude*")=0,#N/A,(SUMIFS('DATA INPUT'!$E$3:$E$3000,'DATA INPUT'!$B$3:$B$3000,'Report Tables'!AA$1,'DATA INPUT'!$A$3:$A$3000,"&gt;="&amp;DATE(2019,7,1),'DATA INPUT'!$A$3:$A$3000,"&lt;"&amp;DATE(2019,7,31),'DATA INPUT'!$F$3:$F$3000,"&lt;&gt;*Exclude*"))))</f>
        <v>#N/A</v>
      </c>
      <c r="AB33" s="136" t="e">
        <f>IF($L$2="Yes",IF(SUMIFS('DATA INPUT'!$E$3:$E$3000,'DATA INPUT'!$B$3:$B$3000,'Report Tables'!AB$1,'DATA INPUT'!$A$3:$A$3000,"&gt;="&amp;DATE(2019,7,1),'DATA INPUT'!$A$3:$A$3000,"&lt;"&amp;DATE(2019,7,31))=0,#N/A,(SUMIFS('DATA INPUT'!$E$3:$E$3000,'DATA INPUT'!$B$3:$B$3000,'Report Tables'!AB$1,'DATA INPUT'!$A$3:$A$3000,"&gt;="&amp;DATE(2019,7,1),'DATA INPUT'!$A$3:$A$3000,"&lt;"&amp;DATE(2019,7,31)))),IF(SUMIFS('DATA INPUT'!$E$3:$E$3000,'DATA INPUT'!$B$3:$B$3000,'Report Tables'!AB$1,'DATA INPUT'!$A$3:$A$3000,"&gt;="&amp;DATE(2019,7,1),'DATA INPUT'!$A$3:$A$3000,"&lt;"&amp;DATE(2019,7,31),'DATA INPUT'!$F$3:$F$3000,"&lt;&gt;*Exclude*")=0,#N/A,(SUMIFS('DATA INPUT'!$E$3:$E$3000,'DATA INPUT'!$B$3:$B$3000,'Report Tables'!AB$1,'DATA INPUT'!$A$3:$A$3000,"&gt;="&amp;DATE(2019,7,1),'DATA INPUT'!$A$3:$A$3000,"&lt;"&amp;DATE(2019,7,31),'DATA INPUT'!$F$3:$F$3000,"&lt;&gt;*Exclude*"))))</f>
        <v>#N/A</v>
      </c>
      <c r="AC33" s="136" t="e">
        <f>IF($L$2="Yes",IF(SUMIFS('DATA INPUT'!$E$3:$E$3000,'DATA INPUT'!$B$3:$B$3000,'Report Tables'!AC$1,'DATA INPUT'!$A$3:$A$3000,"&gt;="&amp;DATE(2019,7,1),'DATA INPUT'!$A$3:$A$3000,"&lt;"&amp;DATE(2019,7,31))=0,#N/A,(SUMIFS('DATA INPUT'!$E$3:$E$3000,'DATA INPUT'!$B$3:$B$3000,'Report Tables'!AC$1,'DATA INPUT'!$A$3:$A$3000,"&gt;="&amp;DATE(2019,7,1),'DATA INPUT'!$A$3:$A$3000,"&lt;"&amp;DATE(2019,7,31)))),IF(SUMIFS('DATA INPUT'!$E$3:$E$3000,'DATA INPUT'!$B$3:$B$3000,'Report Tables'!AC$1,'DATA INPUT'!$A$3:$A$3000,"&gt;="&amp;DATE(2019,7,1),'DATA INPUT'!$A$3:$A$3000,"&lt;"&amp;DATE(2019,7,31),'DATA INPUT'!$F$3:$F$3000,"&lt;&gt;*Exclude*")=0,#N/A,(SUMIFS('DATA INPUT'!$E$3:$E$3000,'DATA INPUT'!$B$3:$B$3000,'Report Tables'!AC$1,'DATA INPUT'!$A$3:$A$3000,"&gt;="&amp;DATE(2019,7,1),'DATA INPUT'!$A$3:$A$3000,"&lt;"&amp;DATE(2019,7,31),'DATA INPUT'!$F$3:$F$3000,"&lt;&gt;*Exclude*"))))</f>
        <v>#N/A</v>
      </c>
      <c r="AD33" s="136" t="e">
        <f>IF($L$2="Yes",IF(SUMIFS('DATA INPUT'!$E$3:$E$3000,'DATA INPUT'!$B$3:$B$3000,'Report Tables'!AD$1,'DATA INPUT'!$A$3:$A$3000,"&gt;="&amp;DATE(2019,7,1),'DATA INPUT'!$A$3:$A$3000,"&lt;"&amp;DATE(2019,7,31))=0,#N/A,(SUMIFS('DATA INPUT'!$E$3:$E$3000,'DATA INPUT'!$B$3:$B$3000,'Report Tables'!AD$1,'DATA INPUT'!$A$3:$A$3000,"&gt;="&amp;DATE(2019,7,1),'DATA INPUT'!$A$3:$A$3000,"&lt;"&amp;DATE(2019,7,31)))),IF(SUMIFS('DATA INPUT'!$E$3:$E$3000,'DATA INPUT'!$B$3:$B$3000,'Report Tables'!AD$1,'DATA INPUT'!$A$3:$A$3000,"&gt;="&amp;DATE(2019,7,1),'DATA INPUT'!$A$3:$A$3000,"&lt;"&amp;DATE(2019,7,31),'DATA INPUT'!$F$3:$F$3000,"&lt;&gt;*Exclude*")=0,#N/A,(SUMIFS('DATA INPUT'!$E$3:$E$3000,'DATA INPUT'!$B$3:$B$3000,'Report Tables'!AD$1,'DATA INPUT'!$A$3:$A$3000,"&gt;="&amp;DATE(2019,7,1),'DATA INPUT'!$A$3:$A$3000,"&lt;"&amp;DATE(2019,7,31),'DATA INPUT'!$F$3:$F$3000,"&lt;&gt;*Exclude*"))))</f>
        <v>#N/A</v>
      </c>
      <c r="AE33" s="136" t="e">
        <f>IF($L$2="Yes",IF(SUMIFS('DATA INPUT'!$E$3:$E$3000,'DATA INPUT'!$B$3:$B$3000,'Report Tables'!AE$1,'DATA INPUT'!$A$3:$A$3000,"&gt;="&amp;DATE(2019,7,1),'DATA INPUT'!$A$3:$A$3000,"&lt;"&amp;DATE(2019,7,31))=0,#N/A,(SUMIFS('DATA INPUT'!$E$3:$E$3000,'DATA INPUT'!$B$3:$B$3000,'Report Tables'!AE$1,'DATA INPUT'!$A$3:$A$3000,"&gt;="&amp;DATE(2019,7,1),'DATA INPUT'!$A$3:$A$3000,"&lt;"&amp;DATE(2019,7,31)))),IF(SUMIFS('DATA INPUT'!$E$3:$E$3000,'DATA INPUT'!$B$3:$B$3000,'Report Tables'!AE$1,'DATA INPUT'!$A$3:$A$3000,"&gt;="&amp;DATE(2019,7,1),'DATA INPUT'!$A$3:$A$3000,"&lt;"&amp;DATE(2019,7,31),'DATA INPUT'!$F$3:$F$3000,"&lt;&gt;*Exclude*")=0,#N/A,(SUMIFS('DATA INPUT'!$E$3:$E$3000,'DATA INPUT'!$B$3:$B$3000,'Report Tables'!AE$1,'DATA INPUT'!$A$3:$A$3000,"&gt;="&amp;DATE(2019,7,1),'DATA INPUT'!$A$3:$A$3000,"&lt;"&amp;DATE(2019,7,31),'DATA INPUT'!$F$3:$F$3000,"&lt;&gt;*Exclude*"))))</f>
        <v>#N/A</v>
      </c>
      <c r="AF33" s="136" t="e">
        <f>IF($L$2="Yes",IF(SUMIFS('DATA INPUT'!$E$3:$E$3000,'DATA INPUT'!$B$3:$B$3000,'Report Tables'!AF$1,'DATA INPUT'!$A$3:$A$3000,"&gt;="&amp;DATE(2019,7,1),'DATA INPUT'!$A$3:$A$3000,"&lt;"&amp;DATE(2019,7,31))=0,#N/A,(SUMIFS('DATA INPUT'!$E$3:$E$3000,'DATA INPUT'!$B$3:$B$3000,'Report Tables'!AF$1,'DATA INPUT'!$A$3:$A$3000,"&gt;="&amp;DATE(2019,7,1),'DATA INPUT'!$A$3:$A$3000,"&lt;"&amp;DATE(2019,7,31)))),IF(SUMIFS('DATA INPUT'!$E$3:$E$3000,'DATA INPUT'!$B$3:$B$3000,'Report Tables'!AF$1,'DATA INPUT'!$A$3:$A$3000,"&gt;="&amp;DATE(2019,7,1),'DATA INPUT'!$A$3:$A$3000,"&lt;"&amp;DATE(2019,7,31),'DATA INPUT'!$F$3:$F$3000,"&lt;&gt;*Exclude*")=0,#N/A,(SUMIFS('DATA INPUT'!$E$3:$E$3000,'DATA INPUT'!$B$3:$B$3000,'Report Tables'!AF$1,'DATA INPUT'!$A$3:$A$3000,"&gt;="&amp;DATE(2019,7,1),'DATA INPUT'!$A$3:$A$3000,"&lt;"&amp;DATE(2019,7,31),'DATA INPUT'!$F$3:$F$3000,"&lt;&gt;*Exclude*"))))</f>
        <v>#N/A</v>
      </c>
      <c r="AG33" s="136" t="e">
        <f>IF($L$2="Yes",IF(SUMIFS('DATA INPUT'!$E$3:$E$3000,'DATA INPUT'!$B$3:$B$3000,'Report Tables'!AG$1,'DATA INPUT'!$A$3:$A$3000,"&gt;="&amp;DATE(2019,7,1),'DATA INPUT'!$A$3:$A$3000,"&lt;"&amp;DATE(2019,7,31))=0,#N/A,(SUMIFS('DATA INPUT'!$E$3:$E$3000,'DATA INPUT'!$B$3:$B$3000,'Report Tables'!AG$1,'DATA INPUT'!$A$3:$A$3000,"&gt;="&amp;DATE(2019,7,1),'DATA INPUT'!$A$3:$A$3000,"&lt;"&amp;DATE(2019,7,31)))),IF(SUMIFS('DATA INPUT'!$E$3:$E$3000,'DATA INPUT'!$B$3:$B$3000,'Report Tables'!AG$1,'DATA INPUT'!$A$3:$A$3000,"&gt;="&amp;DATE(2019,7,1),'DATA INPUT'!$A$3:$A$3000,"&lt;"&amp;DATE(2019,7,31),'DATA INPUT'!$F$3:$F$3000,"&lt;&gt;*Exclude*")=0,#N/A,(SUMIFS('DATA INPUT'!$E$3:$E$3000,'DATA INPUT'!$B$3:$B$3000,'Report Tables'!AG$1,'DATA INPUT'!$A$3:$A$3000,"&gt;="&amp;DATE(2019,7,1),'DATA INPUT'!$A$3:$A$3000,"&lt;"&amp;DATE(2019,7,31),'DATA INPUT'!$F$3:$F$3000,"&lt;&gt;*Exclude*"))))</f>
        <v>#N/A</v>
      </c>
      <c r="AH33" s="136" t="e">
        <f>IF($L$2="Yes",IF(SUMIFS('DATA INPUT'!$E$3:$E$3000,'DATA INPUT'!$B$3:$B$3000,'Report Tables'!AH$1,'DATA INPUT'!$A$3:$A$3000,"&gt;="&amp;DATE(2019,7,1),'DATA INPUT'!$A$3:$A$3000,"&lt;"&amp;DATE(2019,7,31))=0,#N/A,(SUMIFS('DATA INPUT'!$E$3:$E$3000,'DATA INPUT'!$B$3:$B$3000,'Report Tables'!AH$1,'DATA INPUT'!$A$3:$A$3000,"&gt;="&amp;DATE(2019,7,1),'DATA INPUT'!$A$3:$A$3000,"&lt;"&amp;DATE(2019,7,31)))),IF(SUMIFS('DATA INPUT'!$E$3:$E$3000,'DATA INPUT'!$B$3:$B$3000,'Report Tables'!AH$1,'DATA INPUT'!$A$3:$A$3000,"&gt;="&amp;DATE(2019,7,1),'DATA INPUT'!$A$3:$A$3000,"&lt;"&amp;DATE(2019,7,31),'DATA INPUT'!$F$3:$F$3000,"&lt;&gt;*Exclude*")=0,#N/A,(SUMIFS('DATA INPUT'!$E$3:$E$3000,'DATA INPUT'!$B$3:$B$3000,'Report Tables'!AH$1,'DATA INPUT'!$A$3:$A$3000,"&gt;="&amp;DATE(2019,7,1),'DATA INPUT'!$A$3:$A$3000,"&lt;"&amp;DATE(2019,7,31),'DATA INPUT'!$F$3:$F$3000,"&lt;&gt;*Exclude*"))))</f>
        <v>#N/A</v>
      </c>
      <c r="AI33" s="136" t="e">
        <f t="shared" si="0"/>
        <v>#N/A</v>
      </c>
      <c r="AJ33" s="136" t="e">
        <f>IF($L$2="Yes",IF(SUMIFS('DATA INPUT'!$D$3:$D$3000,'DATA INPUT'!$A$3:$A$3000,"&gt;="&amp;DATE(2019,7,1),'DATA INPUT'!$A$3:$A$3000,"&lt;"&amp;DATE(2019,7,31),'DATA INPUT'!$G$3:$G$3000,"&lt;&gt;*School service*")=0,#N/A,(SUMIFS('DATA INPUT'!$D$3:$D$3000,'DATA INPUT'!$A$3:$A$3000,"&gt;="&amp;DATE(2019,7,1),'DATA INPUT'!$A$3:$A$3000,"&lt;"&amp;DATE(2019,7,31),'DATA INPUT'!$G$3:$G$3000,"&lt;&gt;*School service*"))),IF(SUMIFS('DATA INPUT'!$D$3:$D$3000,'DATA INPUT'!$A$3:$A$3000,"&gt;="&amp;DATE(2019,7,1),'DATA INPUT'!$A$3:$A$3000,"&lt;"&amp;DATE(2019,7,31),'DATA INPUT'!$F$3:$F$3000,"&lt;&gt;*Exclude*",'DATA INPUT'!$G$3:$G$3000,"&lt;&gt;*School service*")=0,#N/A,(SUMIFS('DATA INPUT'!$D$3:$D$3000,'DATA INPUT'!$A$3:$A$3000,"&gt;="&amp;DATE(2019,7,1),'DATA INPUT'!$A$3:$A$3000,"&lt;"&amp;DATE(2019,7,31),'DATA INPUT'!$F$3:$F$3000,"&lt;&gt;*Exclude*",'DATA INPUT'!$G$3:$G$3000,"&lt;&gt;*School service*"))))</f>
        <v>#N/A</v>
      </c>
      <c r="AK33" s="136" t="e">
        <f>AI33-AJ33</f>
        <v>#N/A</v>
      </c>
      <c r="AM33" s="117" t="e">
        <f>IF($L$2="Yes",IFERROR((SUMIFS('DATA INPUT'!$E$3:$E$3000,'DATA INPUT'!$B$3:$B$3000,'Report Tables'!AM$1,'DATA INPUT'!$A$3:$A$3000,"&gt;="&amp;DATE(2019,7,1),'DATA INPUT'!$A$3:$A$3000,"&lt;"&amp;DATE(2019,7,31)))/COUNTIFS('DATA INPUT'!$B$3:$B$3000,'Report Tables'!AM$1,'DATA INPUT'!$A$3:$A$3000,"&gt;="&amp;DATE(2019,7,1),'DATA INPUT'!$A$3:$A$3000,"&lt;"&amp;DATE(2019,7,31)),#N/A),IFERROR((SUMIFS('DATA INPUT'!$E$3:$E$3000,'DATA INPUT'!$B$3:$B$3000,'Report Tables'!AM$1,'DATA INPUT'!$A$3:$A$3000,"&gt;="&amp;DATE(2019,7,1),'DATA INPUT'!$A$3:$A$3000,"&lt;"&amp;DATE(2019,7,31),'DATA INPUT'!$F$3:$F$3000,"&lt;&gt;*Exclude*"))/(COUNTIFS('DATA INPUT'!$B$3:$B$3000,'Report Tables'!AM$1,'DATA INPUT'!$A$3:$A$3000,"&gt;="&amp;DATE(2019,7,1),'DATA INPUT'!$A$3:$A$3000,"&lt;"&amp;DATE(2019,7,31),'DATA INPUT'!$F$3:$F$3000,"&lt;&gt;*Exclude*")),#N/A))</f>
        <v>#N/A</v>
      </c>
      <c r="AN33" s="117" t="e">
        <f>IF($L$2="Yes",IFERROR((SUMIFS('DATA INPUT'!$E$3:$E$3000,'DATA INPUT'!$B$3:$B$3000,'Report Tables'!AN$1,'DATA INPUT'!$A$3:$A$3000,"&gt;="&amp;DATE(2019,7,1),'DATA INPUT'!$A$3:$A$3000,"&lt;"&amp;DATE(2019,7,31)))/COUNTIFS('DATA INPUT'!$B$3:$B$3000,'Report Tables'!AN$1,'DATA INPUT'!$A$3:$A$3000,"&gt;="&amp;DATE(2019,7,1),'DATA INPUT'!$A$3:$A$3000,"&lt;"&amp;DATE(2019,7,31)),#N/A),IFERROR((SUMIFS('DATA INPUT'!$E$3:$E$3000,'DATA INPUT'!$B$3:$B$3000,'Report Tables'!AN$1,'DATA INPUT'!$A$3:$A$3000,"&gt;="&amp;DATE(2019,7,1),'DATA INPUT'!$A$3:$A$3000,"&lt;"&amp;DATE(2019,7,31),'DATA INPUT'!$F$3:$F$3000,"&lt;&gt;*Exclude*"))/(COUNTIFS('DATA INPUT'!$B$3:$B$3000,'Report Tables'!AN$1,'DATA INPUT'!$A$3:$A$3000,"&gt;="&amp;DATE(2019,7,1),'DATA INPUT'!$A$3:$A$3000,"&lt;"&amp;DATE(2019,7,31),'DATA INPUT'!$F$3:$F$3000,"&lt;&gt;*Exclude*")),#N/A))</f>
        <v>#N/A</v>
      </c>
      <c r="AO33" s="117" t="e">
        <f>IF($L$2="Yes",IFERROR((SUMIFS('DATA INPUT'!$E$3:$E$3000,'DATA INPUT'!$B$3:$B$3000,'Report Tables'!AO$1,'DATA INPUT'!$A$3:$A$3000,"&gt;="&amp;DATE(2019,7,1),'DATA INPUT'!$A$3:$A$3000,"&lt;"&amp;DATE(2019,7,31)))/COUNTIFS('DATA INPUT'!$B$3:$B$3000,'Report Tables'!AO$1,'DATA INPUT'!$A$3:$A$3000,"&gt;="&amp;DATE(2019,7,1),'DATA INPUT'!$A$3:$A$3000,"&lt;"&amp;DATE(2019,7,31)),#N/A),IFERROR((SUMIFS('DATA INPUT'!$E$3:$E$3000,'DATA INPUT'!$B$3:$B$3000,'Report Tables'!AO$1,'DATA INPUT'!$A$3:$A$3000,"&gt;="&amp;DATE(2019,7,1),'DATA INPUT'!$A$3:$A$3000,"&lt;"&amp;DATE(2019,7,31),'DATA INPUT'!$F$3:$F$3000,"&lt;&gt;*Exclude*"))/(COUNTIFS('DATA INPUT'!$B$3:$B$3000,'Report Tables'!AO$1,'DATA INPUT'!$A$3:$A$3000,"&gt;="&amp;DATE(2019,7,1),'DATA INPUT'!$A$3:$A$3000,"&lt;"&amp;DATE(2019,7,31),'DATA INPUT'!$F$3:$F$3000,"&lt;&gt;*Exclude*")),#N/A))</f>
        <v>#N/A</v>
      </c>
      <c r="AP33" s="117" t="e">
        <f>IF($L$2="Yes",IFERROR((SUMIFS('DATA INPUT'!$E$3:$E$3000,'DATA INPUT'!$B$3:$B$3000,'Report Tables'!AP$1,'DATA INPUT'!$A$3:$A$3000,"&gt;="&amp;DATE(2019,7,1),'DATA INPUT'!$A$3:$A$3000,"&lt;"&amp;DATE(2019,7,31)))/COUNTIFS('DATA INPUT'!$B$3:$B$3000,'Report Tables'!AP$1,'DATA INPUT'!$A$3:$A$3000,"&gt;="&amp;DATE(2019,7,1),'DATA INPUT'!$A$3:$A$3000,"&lt;"&amp;DATE(2019,7,31)),#N/A),IFERROR((SUMIFS('DATA INPUT'!$E$3:$E$3000,'DATA INPUT'!$B$3:$B$3000,'Report Tables'!AP$1,'DATA INPUT'!$A$3:$A$3000,"&gt;="&amp;DATE(2019,7,1),'DATA INPUT'!$A$3:$A$3000,"&lt;"&amp;DATE(2019,7,31),'DATA INPUT'!$F$3:$F$3000,"&lt;&gt;*Exclude*"))/(COUNTIFS('DATA INPUT'!$B$3:$B$3000,'Report Tables'!AP$1,'DATA INPUT'!$A$3:$A$3000,"&gt;="&amp;DATE(2019,7,1),'DATA INPUT'!$A$3:$A$3000,"&lt;"&amp;DATE(2019,7,31),'DATA INPUT'!$F$3:$F$3000,"&lt;&gt;*Exclude*")),#N/A))</f>
        <v>#N/A</v>
      </c>
      <c r="AQ33" s="117" t="e">
        <f>IF($L$2="Yes",IFERROR((SUMIFS('DATA INPUT'!$E$3:$E$3000,'DATA INPUT'!$B$3:$B$3000,'Report Tables'!AQ$1,'DATA INPUT'!$A$3:$A$3000,"&gt;="&amp;DATE(2019,7,1),'DATA INPUT'!$A$3:$A$3000,"&lt;"&amp;DATE(2019,7,31)))/COUNTIFS('DATA INPUT'!$B$3:$B$3000,'Report Tables'!AQ$1,'DATA INPUT'!$A$3:$A$3000,"&gt;="&amp;DATE(2019,7,1),'DATA INPUT'!$A$3:$A$3000,"&lt;"&amp;DATE(2019,7,31)),#N/A),IFERROR((SUMIFS('DATA INPUT'!$E$3:$E$3000,'DATA INPUT'!$B$3:$B$3000,'Report Tables'!AQ$1,'DATA INPUT'!$A$3:$A$3000,"&gt;="&amp;DATE(2019,7,1),'DATA INPUT'!$A$3:$A$3000,"&lt;"&amp;DATE(2019,7,31),'DATA INPUT'!$F$3:$F$3000,"&lt;&gt;*Exclude*"))/(COUNTIFS('DATA INPUT'!$B$3:$B$3000,'Report Tables'!AQ$1,'DATA INPUT'!$A$3:$A$3000,"&gt;="&amp;DATE(2019,7,1),'DATA INPUT'!$A$3:$A$3000,"&lt;"&amp;DATE(2019,7,31),'DATA INPUT'!$F$3:$F$3000,"&lt;&gt;*Exclude*")),#N/A))</f>
        <v>#N/A</v>
      </c>
      <c r="AR33" s="117" t="e">
        <f>IF($L$2="Yes",IFERROR((SUMIFS('DATA INPUT'!$E$3:$E$3000,'DATA INPUT'!$B$3:$B$3000,'Report Tables'!AR$1,'DATA INPUT'!$A$3:$A$3000,"&gt;="&amp;DATE(2019,7,1),'DATA INPUT'!$A$3:$A$3000,"&lt;"&amp;DATE(2019,7,31)))/COUNTIFS('DATA INPUT'!$B$3:$B$3000,'Report Tables'!AR$1,'DATA INPUT'!$A$3:$A$3000,"&gt;="&amp;DATE(2019,7,1),'DATA INPUT'!$A$3:$A$3000,"&lt;"&amp;DATE(2019,7,31)),#N/A),IFERROR((SUMIFS('DATA INPUT'!$E$3:$E$3000,'DATA INPUT'!$B$3:$B$3000,'Report Tables'!AR$1,'DATA INPUT'!$A$3:$A$3000,"&gt;="&amp;DATE(2019,7,1),'DATA INPUT'!$A$3:$A$3000,"&lt;"&amp;DATE(2019,7,31),'DATA INPUT'!$F$3:$F$3000,"&lt;&gt;*Exclude*"))/(COUNTIFS('DATA INPUT'!$B$3:$B$3000,'Report Tables'!AR$1,'DATA INPUT'!$A$3:$A$3000,"&gt;="&amp;DATE(2019,7,1),'DATA INPUT'!$A$3:$A$3000,"&lt;"&amp;DATE(2019,7,31),'DATA INPUT'!$F$3:$F$3000,"&lt;&gt;*Exclude*")),#N/A))</f>
        <v>#N/A</v>
      </c>
      <c r="AS33" s="117" t="e">
        <f>IF($L$2="Yes",IFERROR((SUMIFS('DATA INPUT'!$E$3:$E$3000,'DATA INPUT'!$B$3:$B$3000,'Report Tables'!AS$1,'DATA INPUT'!$A$3:$A$3000,"&gt;="&amp;DATE(2019,7,1),'DATA INPUT'!$A$3:$A$3000,"&lt;"&amp;DATE(2019,7,31)))/COUNTIFS('DATA INPUT'!$B$3:$B$3000,'Report Tables'!AS$1,'DATA INPUT'!$A$3:$A$3000,"&gt;="&amp;DATE(2019,7,1),'DATA INPUT'!$A$3:$A$3000,"&lt;"&amp;DATE(2019,7,31)),#N/A),IFERROR((SUMIFS('DATA INPUT'!$E$3:$E$3000,'DATA INPUT'!$B$3:$B$3000,'Report Tables'!AS$1,'DATA INPUT'!$A$3:$A$3000,"&gt;="&amp;DATE(2019,7,1),'DATA INPUT'!$A$3:$A$3000,"&lt;"&amp;DATE(2019,7,31),'DATA INPUT'!$F$3:$F$3000,"&lt;&gt;*Exclude*"))/(COUNTIFS('DATA INPUT'!$B$3:$B$3000,'Report Tables'!AS$1,'DATA INPUT'!$A$3:$A$3000,"&gt;="&amp;DATE(2019,7,1),'DATA INPUT'!$A$3:$A$3000,"&lt;"&amp;DATE(2019,7,31),'DATA INPUT'!$F$3:$F$3000,"&lt;&gt;*Exclude*")),#N/A))</f>
        <v>#N/A</v>
      </c>
      <c r="AT33" s="117" t="e">
        <f>IF($L$2="Yes",IFERROR((SUMIFS('DATA INPUT'!$E$3:$E$3000,'DATA INPUT'!$B$3:$B$3000,'Report Tables'!AT$1,'DATA INPUT'!$A$3:$A$3000,"&gt;="&amp;DATE(2019,7,1),'DATA INPUT'!$A$3:$A$3000,"&lt;"&amp;DATE(2019,7,31)))/COUNTIFS('DATA INPUT'!$B$3:$B$3000,'Report Tables'!AT$1,'DATA INPUT'!$A$3:$A$3000,"&gt;="&amp;DATE(2019,7,1),'DATA INPUT'!$A$3:$A$3000,"&lt;"&amp;DATE(2019,7,31)),#N/A),IFERROR((SUMIFS('DATA INPUT'!$E$3:$E$3000,'DATA INPUT'!$B$3:$B$3000,'Report Tables'!AT$1,'DATA INPUT'!$A$3:$A$3000,"&gt;="&amp;DATE(2019,7,1),'DATA INPUT'!$A$3:$A$3000,"&lt;"&amp;DATE(2019,7,31),'DATA INPUT'!$F$3:$F$3000,"&lt;&gt;*Exclude*"))/(COUNTIFS('DATA INPUT'!$B$3:$B$3000,'Report Tables'!AT$1,'DATA INPUT'!$A$3:$A$3000,"&gt;="&amp;DATE(2019,7,1),'DATA INPUT'!$A$3:$A$3000,"&lt;"&amp;DATE(2019,7,31),'DATA INPUT'!$F$3:$F$3000,"&lt;&gt;*Exclude*")),#N/A))</f>
        <v>#N/A</v>
      </c>
      <c r="AU33" s="117" t="e">
        <f t="shared" si="1"/>
        <v>#N/A</v>
      </c>
      <c r="AV33" s="117" t="e">
        <f>IF($L$2="Yes",IFERROR((SUMIFS('DATA INPUT'!$D$3:$D$3000,'DATA INPUT'!$A$3:$A$3000,"&gt;="&amp;DATE(2019,7,1),'DATA INPUT'!$A$3:$A$3000,"&lt;"&amp;DATE(2019,7,31),'DATA INPUT'!$G$3:$G$3000,"&lt;&gt;*School service*"))/COUNTIFS('DATA INPUT'!$A$3:$A$3000,"&gt;="&amp;DATE(2019,7,1),'DATA INPUT'!$A$3:$A$3000,"&lt;"&amp;DATE(2019,7,31),'DATA INPUT'!$G$3:$G$3000,"&lt;&gt;*School service*",'DATA INPUT'!$D$3:$D$3000,"&lt;&gt;"&amp;""),#N/A),IFERROR((SUMIFS('DATA INPUT'!$D$3:$D$3000,'DATA INPUT'!$A$3:$A$3000,"&gt;="&amp;DATE(2019,7,1),'DATA INPUT'!$A$3:$A$3000,"&lt;"&amp;DATE(2019,7,31),'DATA INPUT'!$F$3:$F$3000,"&lt;&gt;*Exclude*",'DATA INPUT'!$G$3:$G$3000,"&lt;&gt;*School service*"))/(COUNTIFS('DATA INPUT'!$A$3:$A$3000,"&gt;="&amp;DATE(2019,7,1),'DATA INPUT'!$A$3:$A$3000,"&lt;"&amp;DATE(2019,7,31),'DATA INPUT'!$F$3:$F$3000,"&lt;&gt;*Exclude*",'DATA INPUT'!$G$3:$G$3000,"&lt;&gt;*School service*",'DATA INPUT'!$D$3:$D$3000,"&lt;&gt;"&amp;"")),#N/A))</f>
        <v>#N/A</v>
      </c>
      <c r="AW33" s="117" t="e">
        <f t="shared" si="2"/>
        <v>#N/A</v>
      </c>
      <c r="AX33" s="117" t="e">
        <f>IF($L$2="Yes",IFERROR((SUMIFS('DATA INPUT'!$E$3:$E$3000,'DATA INPUT'!$B$3:$B$3000,'Report Tables'!AX$1,'DATA INPUT'!$A$3:$A$3000,"&gt;="&amp;DATE(2019,7,1),'DATA INPUT'!$A$3:$A$3000,"&lt;"&amp;DATE(2019,7,31)))/COUNTIFS('DATA INPUT'!$B$3:$B$3000,'Report Tables'!AX$1,'DATA INPUT'!$A$3:$A$3000,"&gt;="&amp;DATE(2019,7,1),'DATA INPUT'!$A$3:$A$3000,"&lt;"&amp;DATE(2019,7,31)),#N/A),IFERROR((SUMIFS('DATA INPUT'!$E$3:$E$3000,'DATA INPUT'!$B$3:$B$3000,'Report Tables'!AX$1,'DATA INPUT'!$A$3:$A$3000,"&gt;="&amp;DATE(2019,7,1),'DATA INPUT'!$A$3:$A$3000,"&lt;"&amp;DATE(2019,7,31),'DATA INPUT'!$F$3:$F$3000,"&lt;&gt;*Exclude*"))/(COUNTIFS('DATA INPUT'!$B$3:$B$3000,'Report Tables'!AX$1,'DATA INPUT'!$A$3:$A$3000,"&gt;="&amp;DATE(2019,7,1),'DATA INPUT'!$A$3:$A$3000,"&lt;"&amp;DATE(2019,7,31),'DATA INPUT'!$F$3:$F$3000,"&lt;&gt;*Exclude*")),#N/A))</f>
        <v>#N/A</v>
      </c>
      <c r="AY33" s="117" t="e">
        <f>IF($L$2="Yes",IFERROR((SUMIFS('DATA INPUT'!$D$3:$D$3000,'DATA INPUT'!$B$3:$B$3000,'Report Tables'!AX$1,'DATA INPUT'!$A$3:$A$3000,"&gt;="&amp;DATE(2019,7,1),'DATA INPUT'!$A$3:$A$3000,"&lt;"&amp;DATE(2019,7,31)))/COUNTIFS('DATA INPUT'!$B$3:$B$3000,'Report Tables'!AX$1,'DATA INPUT'!$A$3:$A$3000,"&gt;="&amp;DATE(2019,7,1),'DATA INPUT'!$A$3:$A$3000,"&lt;"&amp;DATE(2019,7,31)),#N/A),IFERROR((SUMIFS('DATA INPUT'!$D$3:$D$3000,'DATA INPUT'!$B$3:$B$3000,'Report Tables'!AX$1,'DATA INPUT'!$A$3:$A$3000,"&gt;="&amp;DATE(2019,7,1),'DATA INPUT'!$A$3:$A$3000,"&lt;"&amp;DATE(2019,7,31),'DATA INPUT'!$F$3:$F$3000,"&lt;&gt;*Exclude*"))/(COUNTIFS('DATA INPUT'!$B$3:$B$3000,'Report Tables'!AX$1,'DATA INPUT'!$A$3:$A$3000,"&gt;="&amp;DATE(2019,7,1),'DATA INPUT'!$A$3:$A$3000,"&lt;"&amp;DATE(2019,7,31),'DATA INPUT'!$F$3:$F$3000,"&lt;&gt;*Exclude*")),#N/A))</f>
        <v>#N/A</v>
      </c>
      <c r="AZ33" s="117" t="e">
        <f>IF($L$2="Yes",IFERROR((SUMIFS('DATA INPUT'!$C$3:$C$3000,'DATA INPUT'!$B$3:$B$3000,'Report Tables'!AX$1,'DATA INPUT'!$A$3:$A$3000,"&gt;="&amp;DATE(2019,7,1),'DATA INPUT'!$A$3:$A$3000,"&lt;"&amp;DATE(2019,7,31)))/COUNTIFS('DATA INPUT'!$B$3:$B$3000,'Report Tables'!AX$1,'DATA INPUT'!$A$3:$A$3000,"&gt;="&amp;DATE(2019,7,1),'DATA INPUT'!$A$3:$A$3000,"&lt;"&amp;DATE(2019,7,31)),#N/A),IFERROR((SUMIFS('DATA INPUT'!$C$3:$C$3000,'DATA INPUT'!$B$3:$B$3000,'Report Tables'!AX$1,'DATA INPUT'!$A$3:$A$3000,"&gt;="&amp;DATE(2019,7,1),'DATA INPUT'!$A$3:$A$3000,"&lt;"&amp;DATE(2019,7,31),'DATA INPUT'!$F$3:$F$3000,"&lt;&gt;*Exclude*"))/(COUNTIFS('DATA INPUT'!$B$3:$B$3000,'Report Tables'!AX$1,'DATA INPUT'!$A$3:$A$3000,"&gt;="&amp;DATE(2019,7,1),'DATA INPUT'!$A$3:$A$3000,"&lt;"&amp;DATE(2019,7,31),'DATA INPUT'!$F$3:$F$3000,"&lt;&gt;*Exclude*")),#N/A))</f>
        <v>#N/A</v>
      </c>
    </row>
    <row r="34" spans="1:52" x14ac:dyDescent="0.3">
      <c r="A34" s="95" t="e">
        <f>VLOOKUP(B34,Information!$C$8:$F$15,4,FALSE)</f>
        <v>#N/A</v>
      </c>
      <c r="B34" s="46">
        <f>$B$10</f>
        <v>0</v>
      </c>
      <c r="C34" s="57" t="e">
        <f>IF($L$2="Yes",IFERROR((SUMIFS('DATA INPUT'!$E$3:$E$3000,'DATA INPUT'!$A$3:$A$3000,"&gt;="&amp;DATE(2017,1,1),'DATA INPUT'!$A$3:$A$3000,"&lt;="&amp;DATE(2017,12,31),'DATA INPUT'!$B$3:$B$3000,$B34))/(COUNTIFS('DATA INPUT'!$A$3:$A$3000,"&gt;="&amp;DATE(2017,1,1),'DATA INPUT'!$A$3:$A$3000,"&lt;="&amp;DATE(2017,12,31),'DATA INPUT'!$B$3:$B$3000,$B34)),#N/A),IFERROR((SUMIFS('DATA INPUT'!$E$3:$E$3000,'DATA INPUT'!$A$3:$A$3000,"&gt;="&amp;DATE(2017,1,1),'DATA INPUT'!$A$3:$A$3000,"&lt;="&amp;DATE(2017,12,31),'DATA INPUT'!$B$3:$B$3000,$B34,'DATA INPUT'!$F$3:$F$3000,"&lt;&gt;*Exclude*"))/(COUNTIFS('DATA INPUT'!$A$3:$A$3000,"&gt;="&amp;DATE(2017,1,1),'DATA INPUT'!$A$3:$A$3000,"&lt;="&amp;DATE(2017,12,31),'DATA INPUT'!$B$3:$B$3000,$B34,'DATA INPUT'!$F$3:$F$3000,"&lt;&gt;*Exclude*")),#N/A))</f>
        <v>#N/A</v>
      </c>
      <c r="D34" s="57" t="e">
        <f>IF($L$2="Yes",IFERROR((SUMIFS('DATA INPUT'!$E$3:$E$3000,'DATA INPUT'!$A$3:$A$3000,"&gt;="&amp;DATE(2018,1,1),'DATA INPUT'!$A$3:$A$3000,"&lt;="&amp;DATE(2018,12,31),'DATA INPUT'!$B$3:$B$3000,$B34))/(COUNTIFS('DATA INPUT'!$A$3:$A$3000,"&gt;="&amp;DATE(2018,1,1),'DATA INPUT'!$A$3:$A$3000,"&lt;="&amp;DATE(2018,12,31),'DATA INPUT'!$B$3:$B$3000,$B34)),#N/A),IFERROR((SUMIFS('DATA INPUT'!$E$3:$E$3000,'DATA INPUT'!$A$3:$A$3000,"&gt;="&amp;DATE(2018,1,1),'DATA INPUT'!$A$3:$A$3000,"&lt;="&amp;DATE(2018,12,31),'DATA INPUT'!$B$3:$B$3000,$B34,'DATA INPUT'!$F$3:$F$3000,"&lt;&gt;*Exclude*"))/(COUNTIFS('DATA INPUT'!$A$3:$A$3000,"&gt;="&amp;DATE(2018,1,1),'DATA INPUT'!$A$3:$A$3000,"&lt;="&amp;DATE(2018,12,31),'DATA INPUT'!$B$3:$B$3000,$B34,'DATA INPUT'!$F$3:$F$3000,"&lt;&gt;*Exclude*")),#N/A))</f>
        <v>#N/A</v>
      </c>
      <c r="E34" s="57" t="e">
        <f>IF($L$2="Yes",IFERROR((SUMIFS('DATA INPUT'!$E$3:$E$3000,'DATA INPUT'!$A$3:$A$3000,"&gt;="&amp;DATE(2019,1,1),'DATA INPUT'!$A$3:$A$3000,"&lt;="&amp;DATE(2019,12,31),'DATA INPUT'!$B$3:$B$3000,$B34))/(COUNTIFS('DATA INPUT'!$A$3:$A$3000,"&gt;="&amp;DATE(2019,1,1),'DATA INPUT'!$A$3:$A$3000,"&lt;="&amp;DATE(2019,12,31),'DATA INPUT'!$B$3:$B$3000,$B34)),#N/A),IFERROR((SUMIFS('DATA INPUT'!$E$3:$E$3000,'DATA INPUT'!$A$3:$A$3000,"&gt;="&amp;DATE(2019,1,1),'DATA INPUT'!$A$3:$A$3000,"&lt;="&amp;DATE(2019,12,31),'DATA INPUT'!$B$3:$B$3000,$B34,'DATA INPUT'!$F$3:$F$3000,"&lt;&gt;*Exclude*"))/(COUNTIFS('DATA INPUT'!$A$3:$A$3000,"&gt;="&amp;DATE(2019,1,1),'DATA INPUT'!$A$3:$A$3000,"&lt;="&amp;DATE(2019,12,31),'DATA INPUT'!$B$3:$B$3000,$B34,'DATA INPUT'!$F$3:$F$3000,"&lt;&gt;*Exclude*")),#N/A))</f>
        <v>#N/A</v>
      </c>
      <c r="F34" s="57" t="e">
        <f>IF($L$2="Yes",IFERROR((SUMIFS('DATA INPUT'!$E$3:$E$3000,'DATA INPUT'!$A$3:$A$3000,"&gt;="&amp;DATE(2020,1,1),'DATA INPUT'!$A$3:$A$3000,"&lt;="&amp;DATE(2020,12,31),'DATA INPUT'!$B$3:$B$3000,$B34))/(COUNTIFS('DATA INPUT'!$A$3:$A$3000,"&gt;="&amp;DATE(2020,1,1),'DATA INPUT'!$A$3:$A$3000,"&lt;="&amp;DATE(2020,12,31),'DATA INPUT'!$B$3:$B$3000,$B34)),#N/A),IFERROR((SUMIFS('DATA INPUT'!$E$3:$E$3000,'DATA INPUT'!$A$3:$A$3000,"&gt;="&amp;DATE(2020,1,1),'DATA INPUT'!$A$3:$A$3000,"&lt;="&amp;DATE(2020,12,31),'DATA INPUT'!$B$3:$B$3000,$B34,'DATA INPUT'!$F$3:$F$3000,"&lt;&gt;*Exclude*"))/(COUNTIFS('DATA INPUT'!$A$3:$A$3000,"&gt;="&amp;DATE(2020,1,1),'DATA INPUT'!$A$3:$A$3000,"&lt;="&amp;DATE(2020,12,31),'DATA INPUT'!$B$3:$B$3000,$B34,'DATA INPUT'!$F$3:$F$3000,"&lt;&gt;*Exclude*")),#N/A))</f>
        <v>#N/A</v>
      </c>
      <c r="G34" s="57" t="e">
        <f>IF($L$2="Yes",IFERROR((SUMIFS('DATA INPUT'!$E$3:$E$3000,'DATA INPUT'!$A$3:$A$3000,"&gt;="&amp;DATE(2021,1,1),'DATA INPUT'!$A$3:$A$3000,"&lt;="&amp;DATE(2021,12,31),'DATA INPUT'!$B$3:$B$3000,$B34))/(COUNTIFS('DATA INPUT'!$A$3:$A$3000,"&gt;="&amp;DATE(2021,1,1),'DATA INPUT'!$A$3:$A$3000,"&lt;="&amp;DATE(2021,12,31),'DATA INPUT'!$B$3:$B$3000,$B34)),#N/A),IFERROR((SUMIFS('DATA INPUT'!$E$3:$E$3000,'DATA INPUT'!$A$3:$A$3000,"&gt;="&amp;DATE(2021,1,1),'DATA INPUT'!$A$3:$A$3000,"&lt;="&amp;DATE(2021,12,31),'DATA INPUT'!$B$3:$B$3000,$B34,'DATA INPUT'!$F$3:$F$3000,"&lt;&gt;*Exclude*"))/(COUNTIFS('DATA INPUT'!$A$3:$A$3000,"&gt;="&amp;DATE(2021,1,1),'DATA INPUT'!$A$3:$A$3000,"&lt;="&amp;DATE(2021,12,31),'DATA INPUT'!$B$3:$B$3000,$B34,'DATA INPUT'!$F$3:$F$3000,"&lt;&gt;*Exclude*")),#N/A))</f>
        <v>#N/A</v>
      </c>
      <c r="H34" s="57" t="e">
        <f>IF($L$2="Yes",IFERROR((SUMIFS('DATA INPUT'!$E$3:$E$3000,'DATA INPUT'!$A$3:$A$3000,"&gt;="&amp;DATE(2022,1,1),'DATA INPUT'!$A$3:$A$3000,"&lt;="&amp;DATE(2022,12,31),'DATA INPUT'!$B$3:$B$3000,$B34))/(COUNTIFS('DATA INPUT'!$A$3:$A$3000,"&gt;="&amp;DATE(2022,1,1),'DATA INPUT'!$A$3:$A$3000,"&lt;="&amp;DATE(2022,12,31),'DATA INPUT'!$B$3:$B$3000,$B34)),#N/A),IFERROR((SUMIFS('DATA INPUT'!$E$3:$E$3000,'DATA INPUT'!$A$3:$A$3000,"&gt;="&amp;DATE(2022,1,1),'DATA INPUT'!$A$3:$A$3000,"&lt;="&amp;DATE(2022,12,31),'DATA INPUT'!$B$3:$B$3000,$B34,'DATA INPUT'!$F$3:$F$3000,"&lt;&gt;*Exclude*"))/(COUNTIFS('DATA INPUT'!$A$3:$A$3000,"&gt;="&amp;DATE(2022,1,1),'DATA INPUT'!$A$3:$A$3000,"&lt;="&amp;DATE(2022,12,31),'DATA INPUT'!$B$3:$B$3000,$B34,'DATA INPUT'!$F$3:$F$3000,"&lt;&gt;*Exclude*")),#N/A))</f>
        <v>#N/A</v>
      </c>
      <c r="I34" s="57" t="e">
        <f>IF($L$2="Yes",IFERROR((SUMIFS('DATA INPUT'!$E$3:$E$3000,'DATA INPUT'!$A$3:$A$3000,"&gt;="&amp;DATE(2023,1,1),'DATA INPUT'!$A$3:$A$3000,"&lt;="&amp;DATE(2023,12,31),'DATA INPUT'!$B$3:$B$3000,$B34))/(COUNTIFS('DATA INPUT'!$A$3:$A$3000,"&gt;="&amp;DATE(2023,1,1),'DATA INPUT'!$A$3:$A$3000,"&lt;="&amp;DATE(2023,12,31),'DATA INPUT'!$B$3:$B$3000,$B34)),#N/A),IFERROR((SUMIFS('DATA INPUT'!$E$3:$E$3000,'DATA INPUT'!$A$3:$A$3000,"&gt;="&amp;DATE(2023,1,1),'DATA INPUT'!$A$3:$A$3000,"&lt;="&amp;DATE(2023,12,31),'DATA INPUT'!$B$3:$B$3000,$B34,'DATA INPUT'!$F$3:$F$3000,"&lt;&gt;*Exclude*"))/(COUNTIFS('DATA INPUT'!$A$3:$A$3000,"&gt;="&amp;DATE(2023,1,1),'DATA INPUT'!$A$3:$A$3000,"&lt;="&amp;DATE(2023,12,31),'DATA INPUT'!$B$3:$B$3000,$B34,'DATA INPUT'!$F$3:$F$3000,"&lt;&gt;*Exclude*")),#N/A))</f>
        <v>#N/A</v>
      </c>
      <c r="J34" s="57" t="e">
        <f>IF($L$2="Yes",IFERROR((SUMIFS('DATA INPUT'!$E$3:$E$3000,'DATA INPUT'!$A$3:$A$3000,"&gt;="&amp;DATE(2024,1,1),'DATA INPUT'!$A$3:$A$3000,"&lt;="&amp;DATE(2024,12,31),'DATA INPUT'!$B$3:$B$3000,$B34))/(COUNTIFS('DATA INPUT'!$A$3:$A$3000,"&gt;="&amp;DATE(2024,1,1),'DATA INPUT'!$A$3:$A$3000,"&lt;="&amp;DATE(2024,12,31),'DATA INPUT'!$B$3:$B$3000,$B34)),#N/A),IFERROR((SUMIFS('DATA INPUT'!$E$3:$E$3000,'DATA INPUT'!$A$3:$A$3000,"&gt;="&amp;DATE(2024,1,1),'DATA INPUT'!$A$3:$A$3000,"&lt;="&amp;DATE(2024,12,31),'DATA INPUT'!$B$3:$B$3000,$B34,'DATA INPUT'!$F$3:$F$3000,"&lt;&gt;*Exclude*"))/(COUNTIFS('DATA INPUT'!$A$3:$A$3000,"&gt;="&amp;DATE(2024,1,1),'DATA INPUT'!$A$3:$A$3000,"&lt;="&amp;DATE(2024,12,31),'DATA INPUT'!$B$3:$B$3000,$B34,'DATA INPUT'!$F$3:$F$3000,"&lt;&gt;*Exclude*")),#N/A))</f>
        <v>#N/A</v>
      </c>
      <c r="K34" s="57" t="e">
        <f>IF($L$2="Yes",IFERROR((SUMIFS('DATA INPUT'!$E$3:$E$3000,'DATA INPUT'!$A$3:$A$3000,"&gt;="&amp;DATE(2025,1,1),'DATA INPUT'!$A$3:$A$3000,"&lt;="&amp;DATE(2025,12,31),'DATA INPUT'!$B$3:$B$3000,$B34))/(COUNTIFS('DATA INPUT'!$A$3:$A$3000,"&gt;="&amp;DATE(2025,1,1),'DATA INPUT'!$A$3:$A$3000,"&lt;="&amp;DATE(2025,12,31),'DATA INPUT'!$B$3:$B$3000,$B34)),#N/A),IFERROR((SUMIFS('DATA INPUT'!$E$3:$E$3000,'DATA INPUT'!$A$3:$A$3000,"&gt;="&amp;DATE(2025,1,1),'DATA INPUT'!$A$3:$A$3000,"&lt;="&amp;DATE(2025,12,31),'DATA INPUT'!$B$3:$B$3000,$B34,'DATA INPUT'!$F$3:$F$3000,"&lt;&gt;*Exclude*"))/(COUNTIFS('DATA INPUT'!$A$3:$A$3000,"&gt;="&amp;DATE(2025,1,1),'DATA INPUT'!$A$3:$A$3000,"&lt;="&amp;DATE(2025,12,31),'DATA INPUT'!$B$3:$B$3000,$B34,'DATA INPUT'!$F$3:$F$3000,"&lt;&gt;*Exclude*")),#N/A))</f>
        <v>#N/A</v>
      </c>
      <c r="L34" s="69" t="str">
        <f t="shared" si="13"/>
        <v/>
      </c>
      <c r="Y34" s="149"/>
      <c r="Z34" s="149" t="s">
        <v>19</v>
      </c>
      <c r="AA34" s="136" t="e">
        <f>IF($L$2="Yes",IF(SUMIFS('DATA INPUT'!$E$3:$E$3000,'DATA INPUT'!$B$3:$B$3000,'Report Tables'!AA$1,'DATA INPUT'!$A$3:$A$3000,"&gt;="&amp;DATE(2019,8,1),'DATA INPUT'!$A$3:$A$3000,"&lt;"&amp;DATE(2019,8,31))=0,#N/A,(SUMIFS('DATA INPUT'!$E$3:$E$3000,'DATA INPUT'!$B$3:$B$3000,'Report Tables'!AA$1,'DATA INPUT'!$A$3:$A$3000,"&gt;="&amp;DATE(2019,8,1),'DATA INPUT'!$A$3:$A$3000,"&lt;"&amp;DATE(2019,8,31)))),IF(SUMIFS('DATA INPUT'!$E$3:$E$3000,'DATA INPUT'!$B$3:$B$3000,'Report Tables'!AA$1,'DATA INPUT'!$A$3:$A$3000,"&gt;="&amp;DATE(2019,8,1),'DATA INPUT'!$A$3:$A$3000,"&lt;"&amp;DATE(2019,8,31),'DATA INPUT'!$F$3:$F$3000,"&lt;&gt;*Exclude*")=0,#N/A,(SUMIFS('DATA INPUT'!$E$3:$E$3000,'DATA INPUT'!$B$3:$B$3000,'Report Tables'!AA$1,'DATA INPUT'!$A$3:$A$3000,"&gt;="&amp;DATE(2019,8,1),'DATA INPUT'!$A$3:$A$3000,"&lt;"&amp;DATE(2019,8,31),'DATA INPUT'!$F$3:$F$3000,"&lt;&gt;*Exclude*"))))</f>
        <v>#N/A</v>
      </c>
      <c r="AB34" s="136" t="e">
        <f>IF($L$2="Yes",IF(SUMIFS('DATA INPUT'!$E$3:$E$3000,'DATA INPUT'!$B$3:$B$3000,'Report Tables'!AB$1,'DATA INPUT'!$A$3:$A$3000,"&gt;="&amp;DATE(2019,8,1),'DATA INPUT'!$A$3:$A$3000,"&lt;"&amp;DATE(2019,8,31))=0,#N/A,(SUMIFS('DATA INPUT'!$E$3:$E$3000,'DATA INPUT'!$B$3:$B$3000,'Report Tables'!AB$1,'DATA INPUT'!$A$3:$A$3000,"&gt;="&amp;DATE(2019,8,1),'DATA INPUT'!$A$3:$A$3000,"&lt;"&amp;DATE(2019,8,31)))),IF(SUMIFS('DATA INPUT'!$E$3:$E$3000,'DATA INPUT'!$B$3:$B$3000,'Report Tables'!AB$1,'DATA INPUT'!$A$3:$A$3000,"&gt;="&amp;DATE(2019,8,1),'DATA INPUT'!$A$3:$A$3000,"&lt;"&amp;DATE(2019,8,31),'DATA INPUT'!$F$3:$F$3000,"&lt;&gt;*Exclude*")=0,#N/A,(SUMIFS('DATA INPUT'!$E$3:$E$3000,'DATA INPUT'!$B$3:$B$3000,'Report Tables'!AB$1,'DATA INPUT'!$A$3:$A$3000,"&gt;="&amp;DATE(2019,8,1),'DATA INPUT'!$A$3:$A$3000,"&lt;"&amp;DATE(2019,8,31),'DATA INPUT'!$F$3:$F$3000,"&lt;&gt;*Exclude*"))))</f>
        <v>#N/A</v>
      </c>
      <c r="AC34" s="136" t="e">
        <f>IF($L$2="Yes",IF(SUMIFS('DATA INPUT'!$E$3:$E$3000,'DATA INPUT'!$B$3:$B$3000,'Report Tables'!AC$1,'DATA INPUT'!$A$3:$A$3000,"&gt;="&amp;DATE(2019,8,1),'DATA INPUT'!$A$3:$A$3000,"&lt;"&amp;DATE(2019,8,31))=0,#N/A,(SUMIFS('DATA INPUT'!$E$3:$E$3000,'DATA INPUT'!$B$3:$B$3000,'Report Tables'!AC$1,'DATA INPUT'!$A$3:$A$3000,"&gt;="&amp;DATE(2019,8,1),'DATA INPUT'!$A$3:$A$3000,"&lt;"&amp;DATE(2019,8,31)))),IF(SUMIFS('DATA INPUT'!$E$3:$E$3000,'DATA INPUT'!$B$3:$B$3000,'Report Tables'!AC$1,'DATA INPUT'!$A$3:$A$3000,"&gt;="&amp;DATE(2019,8,1),'DATA INPUT'!$A$3:$A$3000,"&lt;"&amp;DATE(2019,8,31),'DATA INPUT'!$F$3:$F$3000,"&lt;&gt;*Exclude*")=0,#N/A,(SUMIFS('DATA INPUT'!$E$3:$E$3000,'DATA INPUT'!$B$3:$B$3000,'Report Tables'!AC$1,'DATA INPUT'!$A$3:$A$3000,"&gt;="&amp;DATE(2019,8,1),'DATA INPUT'!$A$3:$A$3000,"&lt;"&amp;DATE(2019,8,31),'DATA INPUT'!$F$3:$F$3000,"&lt;&gt;*Exclude*"))))</f>
        <v>#N/A</v>
      </c>
      <c r="AD34" s="136" t="e">
        <f>IF($L$2="Yes",IF(SUMIFS('DATA INPUT'!$E$3:$E$3000,'DATA INPUT'!$B$3:$B$3000,'Report Tables'!AD$1,'DATA INPUT'!$A$3:$A$3000,"&gt;="&amp;DATE(2019,8,1),'DATA INPUT'!$A$3:$A$3000,"&lt;"&amp;DATE(2019,8,31))=0,#N/A,(SUMIFS('DATA INPUT'!$E$3:$E$3000,'DATA INPUT'!$B$3:$B$3000,'Report Tables'!AD$1,'DATA INPUT'!$A$3:$A$3000,"&gt;="&amp;DATE(2019,8,1),'DATA INPUT'!$A$3:$A$3000,"&lt;"&amp;DATE(2019,8,31)))),IF(SUMIFS('DATA INPUT'!$E$3:$E$3000,'DATA INPUT'!$B$3:$B$3000,'Report Tables'!AD$1,'DATA INPUT'!$A$3:$A$3000,"&gt;="&amp;DATE(2019,8,1),'DATA INPUT'!$A$3:$A$3000,"&lt;"&amp;DATE(2019,8,31),'DATA INPUT'!$F$3:$F$3000,"&lt;&gt;*Exclude*")=0,#N/A,(SUMIFS('DATA INPUT'!$E$3:$E$3000,'DATA INPUT'!$B$3:$B$3000,'Report Tables'!AD$1,'DATA INPUT'!$A$3:$A$3000,"&gt;="&amp;DATE(2019,8,1),'DATA INPUT'!$A$3:$A$3000,"&lt;"&amp;DATE(2019,8,31),'DATA INPUT'!$F$3:$F$3000,"&lt;&gt;*Exclude*"))))</f>
        <v>#N/A</v>
      </c>
      <c r="AE34" s="136" t="e">
        <f>IF($L$2="Yes",IF(SUMIFS('DATA INPUT'!$E$3:$E$3000,'DATA INPUT'!$B$3:$B$3000,'Report Tables'!AE$1,'DATA INPUT'!$A$3:$A$3000,"&gt;="&amp;DATE(2019,8,1),'DATA INPUT'!$A$3:$A$3000,"&lt;"&amp;DATE(2019,8,31))=0,#N/A,(SUMIFS('DATA INPUT'!$E$3:$E$3000,'DATA INPUT'!$B$3:$B$3000,'Report Tables'!AE$1,'DATA INPUT'!$A$3:$A$3000,"&gt;="&amp;DATE(2019,8,1),'DATA INPUT'!$A$3:$A$3000,"&lt;"&amp;DATE(2019,8,31)))),IF(SUMIFS('DATA INPUT'!$E$3:$E$3000,'DATA INPUT'!$B$3:$B$3000,'Report Tables'!AE$1,'DATA INPUT'!$A$3:$A$3000,"&gt;="&amp;DATE(2019,8,1),'DATA INPUT'!$A$3:$A$3000,"&lt;"&amp;DATE(2019,8,31),'DATA INPUT'!$F$3:$F$3000,"&lt;&gt;*Exclude*")=0,#N/A,(SUMIFS('DATA INPUT'!$E$3:$E$3000,'DATA INPUT'!$B$3:$B$3000,'Report Tables'!AE$1,'DATA INPUT'!$A$3:$A$3000,"&gt;="&amp;DATE(2019,8,1),'DATA INPUT'!$A$3:$A$3000,"&lt;"&amp;DATE(2019,8,31),'DATA INPUT'!$F$3:$F$3000,"&lt;&gt;*Exclude*"))))</f>
        <v>#N/A</v>
      </c>
      <c r="AF34" s="136" t="e">
        <f>IF($L$2="Yes",IF(SUMIFS('DATA INPUT'!$E$3:$E$3000,'DATA INPUT'!$B$3:$B$3000,'Report Tables'!AF$1,'DATA INPUT'!$A$3:$A$3000,"&gt;="&amp;DATE(2019,8,1),'DATA INPUT'!$A$3:$A$3000,"&lt;"&amp;DATE(2019,8,31))=0,#N/A,(SUMIFS('DATA INPUT'!$E$3:$E$3000,'DATA INPUT'!$B$3:$B$3000,'Report Tables'!AF$1,'DATA INPUT'!$A$3:$A$3000,"&gt;="&amp;DATE(2019,8,1),'DATA INPUT'!$A$3:$A$3000,"&lt;"&amp;DATE(2019,8,31)))),IF(SUMIFS('DATA INPUT'!$E$3:$E$3000,'DATA INPUT'!$B$3:$B$3000,'Report Tables'!AF$1,'DATA INPUT'!$A$3:$A$3000,"&gt;="&amp;DATE(2019,8,1),'DATA INPUT'!$A$3:$A$3000,"&lt;"&amp;DATE(2019,8,31),'DATA INPUT'!$F$3:$F$3000,"&lt;&gt;*Exclude*")=0,#N/A,(SUMIFS('DATA INPUT'!$E$3:$E$3000,'DATA INPUT'!$B$3:$B$3000,'Report Tables'!AF$1,'DATA INPUT'!$A$3:$A$3000,"&gt;="&amp;DATE(2019,8,1),'DATA INPUT'!$A$3:$A$3000,"&lt;"&amp;DATE(2019,8,31),'DATA INPUT'!$F$3:$F$3000,"&lt;&gt;*Exclude*"))))</f>
        <v>#N/A</v>
      </c>
      <c r="AG34" s="136" t="e">
        <f>IF($L$2="Yes",IF(SUMIFS('DATA INPUT'!$E$3:$E$3000,'DATA INPUT'!$B$3:$B$3000,'Report Tables'!AG$1,'DATA INPUT'!$A$3:$A$3000,"&gt;="&amp;DATE(2019,8,1),'DATA INPUT'!$A$3:$A$3000,"&lt;"&amp;DATE(2019,8,31))=0,#N/A,(SUMIFS('DATA INPUT'!$E$3:$E$3000,'DATA INPUT'!$B$3:$B$3000,'Report Tables'!AG$1,'DATA INPUT'!$A$3:$A$3000,"&gt;="&amp;DATE(2019,8,1),'DATA INPUT'!$A$3:$A$3000,"&lt;"&amp;DATE(2019,8,31)))),IF(SUMIFS('DATA INPUT'!$E$3:$E$3000,'DATA INPUT'!$B$3:$B$3000,'Report Tables'!AG$1,'DATA INPUT'!$A$3:$A$3000,"&gt;="&amp;DATE(2019,8,1),'DATA INPUT'!$A$3:$A$3000,"&lt;"&amp;DATE(2019,8,31),'DATA INPUT'!$F$3:$F$3000,"&lt;&gt;*Exclude*")=0,#N/A,(SUMIFS('DATA INPUT'!$E$3:$E$3000,'DATA INPUT'!$B$3:$B$3000,'Report Tables'!AG$1,'DATA INPUT'!$A$3:$A$3000,"&gt;="&amp;DATE(2019,8,1),'DATA INPUT'!$A$3:$A$3000,"&lt;"&amp;DATE(2019,8,31),'DATA INPUT'!$F$3:$F$3000,"&lt;&gt;*Exclude*"))))</f>
        <v>#N/A</v>
      </c>
      <c r="AH34" s="136" t="e">
        <f>IF($L$2="Yes",IF(SUMIFS('DATA INPUT'!$E$3:$E$3000,'DATA INPUT'!$B$3:$B$3000,'Report Tables'!AH$1,'DATA INPUT'!$A$3:$A$3000,"&gt;="&amp;DATE(2019,8,1),'DATA INPUT'!$A$3:$A$3000,"&lt;"&amp;DATE(2019,8,31))=0,#N/A,(SUMIFS('DATA INPUT'!$E$3:$E$3000,'DATA INPUT'!$B$3:$B$3000,'Report Tables'!AH$1,'DATA INPUT'!$A$3:$A$3000,"&gt;="&amp;DATE(2019,8,1),'DATA INPUT'!$A$3:$A$3000,"&lt;"&amp;DATE(2019,8,31)))),IF(SUMIFS('DATA INPUT'!$E$3:$E$3000,'DATA INPUT'!$B$3:$B$3000,'Report Tables'!AH$1,'DATA INPUT'!$A$3:$A$3000,"&gt;="&amp;DATE(2019,8,1),'DATA INPUT'!$A$3:$A$3000,"&lt;"&amp;DATE(2019,8,31),'DATA INPUT'!$F$3:$F$3000,"&lt;&gt;*Exclude*")=0,#N/A,(SUMIFS('DATA INPUT'!$E$3:$E$3000,'DATA INPUT'!$B$3:$B$3000,'Report Tables'!AH$1,'DATA INPUT'!$A$3:$A$3000,"&gt;="&amp;DATE(2019,8,1),'DATA INPUT'!$A$3:$A$3000,"&lt;"&amp;DATE(2019,8,31),'DATA INPUT'!$F$3:$F$3000,"&lt;&gt;*Exclude*"))))</f>
        <v>#N/A</v>
      </c>
      <c r="AI34" s="136" t="e">
        <f t="shared" si="0"/>
        <v>#N/A</v>
      </c>
      <c r="AJ34" s="136" t="e">
        <f>IF($L$2="Yes",IF(SUMIFS('DATA INPUT'!$D$3:$D$3000,'DATA INPUT'!$A$3:$A$3000,"&gt;="&amp;DATE(2019,8,1),'DATA INPUT'!$A$3:$A$3000,"&lt;"&amp;DATE(2019,8,31),'DATA INPUT'!$G$3:$G$3000,"&lt;&gt;*School service*")=0,#N/A,(SUMIFS('DATA INPUT'!$D$3:$D$3000,'DATA INPUT'!$A$3:$A$3000,"&gt;="&amp;DATE(2019,8,1),'DATA INPUT'!$A$3:$A$3000,"&lt;"&amp;DATE(2019,8,31),'DATA INPUT'!$G$3:$G$3000,"&lt;&gt;*School service*"))),IF(SUMIFS('DATA INPUT'!$D$3:$D$3000,'DATA INPUT'!$A$3:$A$3000,"&gt;="&amp;DATE(2019,8,1),'DATA INPUT'!$A$3:$A$3000,"&lt;"&amp;DATE(2019,8,31),'DATA INPUT'!$F$3:$F$3000,"&lt;&gt;*Exclude*",'DATA INPUT'!$G$3:$G$3000,"&lt;&gt;*School service*")=0,#N/A,(SUMIFS('DATA INPUT'!$D$3:$D$3000,'DATA INPUT'!$A$3:$A$3000,"&gt;="&amp;DATE(2019,8,1),'DATA INPUT'!$A$3:$A$3000,"&lt;"&amp;DATE(2019,8,31),'DATA INPUT'!$F$3:$F$3000,"&lt;&gt;*Exclude*",'DATA INPUT'!$G$3:$G$3000,"&lt;&gt;*School service*"))))</f>
        <v>#N/A</v>
      </c>
      <c r="AK34" s="136" t="e">
        <f>AI34-AJ34</f>
        <v>#N/A</v>
      </c>
      <c r="AM34" s="117" t="e">
        <f>IF($L$2="Yes",IFERROR((SUMIFS('DATA INPUT'!$E$3:$E$3000,'DATA INPUT'!$B$3:$B$3000,'Report Tables'!AM$1,'DATA INPUT'!$A$3:$A$3000,"&gt;="&amp;DATE(2019,8,1),'DATA INPUT'!$A$3:$A$3000,"&lt;"&amp;DATE(2019,8,31)))/COUNTIFS('DATA INPUT'!$B$3:$B$3000,'Report Tables'!AM$1,'DATA INPUT'!$A$3:$A$3000,"&gt;="&amp;DATE(2019,8,1),'DATA INPUT'!$A$3:$A$3000,"&lt;"&amp;DATE(2019,8,31)),#N/A),IFERROR((SUMIFS('DATA INPUT'!$E$3:$E$3000,'DATA INPUT'!$B$3:$B$3000,'Report Tables'!AM$1,'DATA INPUT'!$A$3:$A$3000,"&gt;="&amp;DATE(2019,8,1),'DATA INPUT'!$A$3:$A$3000,"&lt;"&amp;DATE(2019,8,31),'DATA INPUT'!$F$3:$F$3000,"&lt;&gt;*Exclude*"))/(COUNTIFS('DATA INPUT'!$B$3:$B$3000,'Report Tables'!AM$1,'DATA INPUT'!$A$3:$A$3000,"&gt;="&amp;DATE(2019,8,1),'DATA INPUT'!$A$3:$A$3000,"&lt;"&amp;DATE(2019,8,31),'DATA INPUT'!$F$3:$F$3000,"&lt;&gt;*Exclude*")),#N/A))</f>
        <v>#N/A</v>
      </c>
      <c r="AN34" s="117" t="e">
        <f>IF($L$2="Yes",IFERROR((SUMIFS('DATA INPUT'!$E$3:$E$3000,'DATA INPUT'!$B$3:$B$3000,'Report Tables'!AN$1,'DATA INPUT'!$A$3:$A$3000,"&gt;="&amp;DATE(2019,8,1),'DATA INPUT'!$A$3:$A$3000,"&lt;"&amp;DATE(2019,8,31)))/COUNTIFS('DATA INPUT'!$B$3:$B$3000,'Report Tables'!AN$1,'DATA INPUT'!$A$3:$A$3000,"&gt;="&amp;DATE(2019,8,1),'DATA INPUT'!$A$3:$A$3000,"&lt;"&amp;DATE(2019,8,31)),#N/A),IFERROR((SUMIFS('DATA INPUT'!$E$3:$E$3000,'DATA INPUT'!$B$3:$B$3000,'Report Tables'!AN$1,'DATA INPUT'!$A$3:$A$3000,"&gt;="&amp;DATE(2019,8,1),'DATA INPUT'!$A$3:$A$3000,"&lt;"&amp;DATE(2019,8,31),'DATA INPUT'!$F$3:$F$3000,"&lt;&gt;*Exclude*"))/(COUNTIFS('DATA INPUT'!$B$3:$B$3000,'Report Tables'!AN$1,'DATA INPUT'!$A$3:$A$3000,"&gt;="&amp;DATE(2019,8,1),'DATA INPUT'!$A$3:$A$3000,"&lt;"&amp;DATE(2019,8,31),'DATA INPUT'!$F$3:$F$3000,"&lt;&gt;*Exclude*")),#N/A))</f>
        <v>#N/A</v>
      </c>
      <c r="AO34" s="117" t="e">
        <f>IF($L$2="Yes",IFERROR((SUMIFS('DATA INPUT'!$E$3:$E$3000,'DATA INPUT'!$B$3:$B$3000,'Report Tables'!AO$1,'DATA INPUT'!$A$3:$A$3000,"&gt;="&amp;DATE(2019,8,1),'DATA INPUT'!$A$3:$A$3000,"&lt;"&amp;DATE(2019,8,31)))/COUNTIFS('DATA INPUT'!$B$3:$B$3000,'Report Tables'!AO$1,'DATA INPUT'!$A$3:$A$3000,"&gt;="&amp;DATE(2019,8,1),'DATA INPUT'!$A$3:$A$3000,"&lt;"&amp;DATE(2019,8,31)),#N/A),IFERROR((SUMIFS('DATA INPUT'!$E$3:$E$3000,'DATA INPUT'!$B$3:$B$3000,'Report Tables'!AO$1,'DATA INPUT'!$A$3:$A$3000,"&gt;="&amp;DATE(2019,8,1),'DATA INPUT'!$A$3:$A$3000,"&lt;"&amp;DATE(2019,8,31),'DATA INPUT'!$F$3:$F$3000,"&lt;&gt;*Exclude*"))/(COUNTIFS('DATA INPUT'!$B$3:$B$3000,'Report Tables'!AO$1,'DATA INPUT'!$A$3:$A$3000,"&gt;="&amp;DATE(2019,8,1),'DATA INPUT'!$A$3:$A$3000,"&lt;"&amp;DATE(2019,8,31),'DATA INPUT'!$F$3:$F$3000,"&lt;&gt;*Exclude*")),#N/A))</f>
        <v>#N/A</v>
      </c>
      <c r="AP34" s="117" t="e">
        <f>IF($L$2="Yes",IFERROR((SUMIFS('DATA INPUT'!$E$3:$E$3000,'DATA INPUT'!$B$3:$B$3000,'Report Tables'!AP$1,'DATA INPUT'!$A$3:$A$3000,"&gt;="&amp;DATE(2019,8,1),'DATA INPUT'!$A$3:$A$3000,"&lt;"&amp;DATE(2019,8,31)))/COUNTIFS('DATA INPUT'!$B$3:$B$3000,'Report Tables'!AP$1,'DATA INPUT'!$A$3:$A$3000,"&gt;="&amp;DATE(2019,8,1),'DATA INPUT'!$A$3:$A$3000,"&lt;"&amp;DATE(2019,8,31)),#N/A),IFERROR((SUMIFS('DATA INPUT'!$E$3:$E$3000,'DATA INPUT'!$B$3:$B$3000,'Report Tables'!AP$1,'DATA INPUT'!$A$3:$A$3000,"&gt;="&amp;DATE(2019,8,1),'DATA INPUT'!$A$3:$A$3000,"&lt;"&amp;DATE(2019,8,31),'DATA INPUT'!$F$3:$F$3000,"&lt;&gt;*Exclude*"))/(COUNTIFS('DATA INPUT'!$B$3:$B$3000,'Report Tables'!AP$1,'DATA INPUT'!$A$3:$A$3000,"&gt;="&amp;DATE(2019,8,1),'DATA INPUT'!$A$3:$A$3000,"&lt;"&amp;DATE(2019,8,31),'DATA INPUT'!$F$3:$F$3000,"&lt;&gt;*Exclude*")),#N/A))</f>
        <v>#N/A</v>
      </c>
      <c r="AQ34" s="117" t="e">
        <f>IF($L$2="Yes",IFERROR((SUMIFS('DATA INPUT'!$E$3:$E$3000,'DATA INPUT'!$B$3:$B$3000,'Report Tables'!AQ$1,'DATA INPUT'!$A$3:$A$3000,"&gt;="&amp;DATE(2019,8,1),'DATA INPUT'!$A$3:$A$3000,"&lt;"&amp;DATE(2019,8,31)))/COUNTIFS('DATA INPUT'!$B$3:$B$3000,'Report Tables'!AQ$1,'DATA INPUT'!$A$3:$A$3000,"&gt;="&amp;DATE(2019,8,1),'DATA INPUT'!$A$3:$A$3000,"&lt;"&amp;DATE(2019,8,31)),#N/A),IFERROR((SUMIFS('DATA INPUT'!$E$3:$E$3000,'DATA INPUT'!$B$3:$B$3000,'Report Tables'!AQ$1,'DATA INPUT'!$A$3:$A$3000,"&gt;="&amp;DATE(2019,8,1),'DATA INPUT'!$A$3:$A$3000,"&lt;"&amp;DATE(2019,8,31),'DATA INPUT'!$F$3:$F$3000,"&lt;&gt;*Exclude*"))/(COUNTIFS('DATA INPUT'!$B$3:$B$3000,'Report Tables'!AQ$1,'DATA INPUT'!$A$3:$A$3000,"&gt;="&amp;DATE(2019,8,1),'DATA INPUT'!$A$3:$A$3000,"&lt;"&amp;DATE(2019,8,31),'DATA INPUT'!$F$3:$F$3000,"&lt;&gt;*Exclude*")),#N/A))</f>
        <v>#N/A</v>
      </c>
      <c r="AR34" s="117" t="e">
        <f>IF($L$2="Yes",IFERROR((SUMIFS('DATA INPUT'!$E$3:$E$3000,'DATA INPUT'!$B$3:$B$3000,'Report Tables'!AR$1,'DATA INPUT'!$A$3:$A$3000,"&gt;="&amp;DATE(2019,8,1),'DATA INPUT'!$A$3:$A$3000,"&lt;"&amp;DATE(2019,8,31)))/COUNTIFS('DATA INPUT'!$B$3:$B$3000,'Report Tables'!AR$1,'DATA INPUT'!$A$3:$A$3000,"&gt;="&amp;DATE(2019,8,1),'DATA INPUT'!$A$3:$A$3000,"&lt;"&amp;DATE(2019,8,31)),#N/A),IFERROR((SUMIFS('DATA INPUT'!$E$3:$E$3000,'DATA INPUT'!$B$3:$B$3000,'Report Tables'!AR$1,'DATA INPUT'!$A$3:$A$3000,"&gt;="&amp;DATE(2019,8,1),'DATA INPUT'!$A$3:$A$3000,"&lt;"&amp;DATE(2019,8,31),'DATA INPUT'!$F$3:$F$3000,"&lt;&gt;*Exclude*"))/(COUNTIFS('DATA INPUT'!$B$3:$B$3000,'Report Tables'!AR$1,'DATA INPUT'!$A$3:$A$3000,"&gt;="&amp;DATE(2019,8,1),'DATA INPUT'!$A$3:$A$3000,"&lt;"&amp;DATE(2019,8,31),'DATA INPUT'!$F$3:$F$3000,"&lt;&gt;*Exclude*")),#N/A))</f>
        <v>#N/A</v>
      </c>
      <c r="AS34" s="117" t="e">
        <f>IF($L$2="Yes",IFERROR((SUMIFS('DATA INPUT'!$E$3:$E$3000,'DATA INPUT'!$B$3:$B$3000,'Report Tables'!AS$1,'DATA INPUT'!$A$3:$A$3000,"&gt;="&amp;DATE(2019,8,1),'DATA INPUT'!$A$3:$A$3000,"&lt;"&amp;DATE(2019,8,31)))/COUNTIFS('DATA INPUT'!$B$3:$B$3000,'Report Tables'!AS$1,'DATA INPUT'!$A$3:$A$3000,"&gt;="&amp;DATE(2019,8,1),'DATA INPUT'!$A$3:$A$3000,"&lt;"&amp;DATE(2019,8,31)),#N/A),IFERROR((SUMIFS('DATA INPUT'!$E$3:$E$3000,'DATA INPUT'!$B$3:$B$3000,'Report Tables'!AS$1,'DATA INPUT'!$A$3:$A$3000,"&gt;="&amp;DATE(2019,8,1),'DATA INPUT'!$A$3:$A$3000,"&lt;"&amp;DATE(2019,8,31),'DATA INPUT'!$F$3:$F$3000,"&lt;&gt;*Exclude*"))/(COUNTIFS('DATA INPUT'!$B$3:$B$3000,'Report Tables'!AS$1,'DATA INPUT'!$A$3:$A$3000,"&gt;="&amp;DATE(2019,8,1),'DATA INPUT'!$A$3:$A$3000,"&lt;"&amp;DATE(2019,8,31),'DATA INPUT'!$F$3:$F$3000,"&lt;&gt;*Exclude*")),#N/A))</f>
        <v>#N/A</v>
      </c>
      <c r="AT34" s="117" t="e">
        <f>IF($L$2="Yes",IFERROR((SUMIFS('DATA INPUT'!$E$3:$E$3000,'DATA INPUT'!$B$3:$B$3000,'Report Tables'!AT$1,'DATA INPUT'!$A$3:$A$3000,"&gt;="&amp;DATE(2019,8,1),'DATA INPUT'!$A$3:$A$3000,"&lt;"&amp;DATE(2019,8,31)))/COUNTIFS('DATA INPUT'!$B$3:$B$3000,'Report Tables'!AT$1,'DATA INPUT'!$A$3:$A$3000,"&gt;="&amp;DATE(2019,8,1),'DATA INPUT'!$A$3:$A$3000,"&lt;"&amp;DATE(2019,8,31)),#N/A),IFERROR((SUMIFS('DATA INPUT'!$E$3:$E$3000,'DATA INPUT'!$B$3:$B$3000,'Report Tables'!AT$1,'DATA INPUT'!$A$3:$A$3000,"&gt;="&amp;DATE(2019,8,1),'DATA INPUT'!$A$3:$A$3000,"&lt;"&amp;DATE(2019,8,31),'DATA INPUT'!$F$3:$F$3000,"&lt;&gt;*Exclude*"))/(COUNTIFS('DATA INPUT'!$B$3:$B$3000,'Report Tables'!AT$1,'DATA INPUT'!$A$3:$A$3000,"&gt;="&amp;DATE(2019,8,1),'DATA INPUT'!$A$3:$A$3000,"&lt;"&amp;DATE(2019,8,31),'DATA INPUT'!$F$3:$F$3000,"&lt;&gt;*Exclude*")),#N/A))</f>
        <v>#N/A</v>
      </c>
      <c r="AU34" s="117" t="e">
        <f t="shared" si="1"/>
        <v>#N/A</v>
      </c>
      <c r="AV34" s="117" t="e">
        <f>IF($L$2="Yes",IFERROR((SUMIFS('DATA INPUT'!$D$3:$D$3000,'DATA INPUT'!$A$3:$A$3000,"&gt;="&amp;DATE(2019,8,1),'DATA INPUT'!$A$3:$A$3000,"&lt;"&amp;DATE(2019,8,31),'DATA INPUT'!$G$3:$G$3000,"&lt;&gt;*School service*"))/COUNTIFS('DATA INPUT'!$A$3:$A$3000,"&gt;="&amp;DATE(2019,8,1),'DATA INPUT'!$A$3:$A$3000,"&lt;"&amp;DATE(2019,8,31),'DATA INPUT'!$G$3:$G$3000,"&lt;&gt;*School service*",'DATA INPUT'!$D$3:$D$3000,"&lt;&gt;"&amp;""),#N/A),IFERROR((SUMIFS('DATA INPUT'!$D$3:$D$3000,'DATA INPUT'!$A$3:$A$3000,"&gt;="&amp;DATE(2019,8,1),'DATA INPUT'!$A$3:$A$3000,"&lt;"&amp;DATE(2019,8,31),'DATA INPUT'!$F$3:$F$3000,"&lt;&gt;*Exclude*",'DATA INPUT'!$G$3:$G$3000,"&lt;&gt;*School service*"))/(COUNTIFS('DATA INPUT'!$A$3:$A$3000,"&gt;="&amp;DATE(2019,8,1),'DATA INPUT'!$A$3:$A$3000,"&lt;"&amp;DATE(2019,8,31),'DATA INPUT'!$F$3:$F$3000,"&lt;&gt;*Exclude*",'DATA INPUT'!$G$3:$G$3000,"&lt;&gt;*School service*",'DATA INPUT'!$D$3:$D$3000,"&lt;&gt;"&amp;"")),#N/A))</f>
        <v>#N/A</v>
      </c>
      <c r="AW34" s="117" t="e">
        <f t="shared" si="2"/>
        <v>#N/A</v>
      </c>
      <c r="AX34" s="117" t="e">
        <f>IF($L$2="Yes",IFERROR((SUMIFS('DATA INPUT'!$E$3:$E$3000,'DATA INPUT'!$B$3:$B$3000,'Report Tables'!AX$1,'DATA INPUT'!$A$3:$A$3000,"&gt;="&amp;DATE(2019,8,1),'DATA INPUT'!$A$3:$A$3000,"&lt;"&amp;DATE(2019,8,31)))/COUNTIFS('DATA INPUT'!$B$3:$B$3000,'Report Tables'!AX$1,'DATA INPUT'!$A$3:$A$3000,"&gt;="&amp;DATE(2019,8,1),'DATA INPUT'!$A$3:$A$3000,"&lt;"&amp;DATE(2019,8,31)),#N/A),IFERROR((SUMIFS('DATA INPUT'!$E$3:$E$3000,'DATA INPUT'!$B$3:$B$3000,'Report Tables'!AX$1,'DATA INPUT'!$A$3:$A$3000,"&gt;="&amp;DATE(2019,8,1),'DATA INPUT'!$A$3:$A$3000,"&lt;"&amp;DATE(2019,8,31),'DATA INPUT'!$F$3:$F$3000,"&lt;&gt;*Exclude*"))/(COUNTIFS('DATA INPUT'!$B$3:$B$3000,'Report Tables'!AX$1,'DATA INPUT'!$A$3:$A$3000,"&gt;="&amp;DATE(2019,8,1),'DATA INPUT'!$A$3:$A$3000,"&lt;"&amp;DATE(2019,8,31),'DATA INPUT'!$F$3:$F$3000,"&lt;&gt;*Exclude*")),#N/A))</f>
        <v>#N/A</v>
      </c>
      <c r="AY34" s="117" t="e">
        <f>IF($L$2="Yes",IFERROR((SUMIFS('DATA INPUT'!$D$3:$D$3000,'DATA INPUT'!$B$3:$B$3000,'Report Tables'!AX$1,'DATA INPUT'!$A$3:$A$3000,"&gt;="&amp;DATE(2019,8,1),'DATA INPUT'!$A$3:$A$3000,"&lt;"&amp;DATE(2019,8,31)))/COUNTIFS('DATA INPUT'!$B$3:$B$3000,'Report Tables'!AX$1,'DATA INPUT'!$A$3:$A$3000,"&gt;="&amp;DATE(2019,8,1),'DATA INPUT'!$A$3:$A$3000,"&lt;"&amp;DATE(2019,8,31)),#N/A),IFERROR((SUMIFS('DATA INPUT'!$D$3:$D$3000,'DATA INPUT'!$B$3:$B$3000,'Report Tables'!AX$1,'DATA INPUT'!$A$3:$A$3000,"&gt;="&amp;DATE(2019,8,1),'DATA INPUT'!$A$3:$A$3000,"&lt;"&amp;DATE(2019,8,31),'DATA INPUT'!$F$3:$F$3000,"&lt;&gt;*Exclude*"))/(COUNTIFS('DATA INPUT'!$B$3:$B$3000,'Report Tables'!AX$1,'DATA INPUT'!$A$3:$A$3000,"&gt;="&amp;DATE(2019,8,1),'DATA INPUT'!$A$3:$A$3000,"&lt;"&amp;DATE(2019,8,31),'DATA INPUT'!$F$3:$F$3000,"&lt;&gt;*Exclude*")),#N/A))</f>
        <v>#N/A</v>
      </c>
      <c r="AZ34" s="117" t="e">
        <f>IF($L$2="Yes",IFERROR((SUMIFS('DATA INPUT'!$C$3:$C$3000,'DATA INPUT'!$B$3:$B$3000,'Report Tables'!AX$1,'DATA INPUT'!$A$3:$A$3000,"&gt;="&amp;DATE(2019,8,1),'DATA INPUT'!$A$3:$A$3000,"&lt;"&amp;DATE(2019,8,31)))/COUNTIFS('DATA INPUT'!$B$3:$B$3000,'Report Tables'!AX$1,'DATA INPUT'!$A$3:$A$3000,"&gt;="&amp;DATE(2019,8,1),'DATA INPUT'!$A$3:$A$3000,"&lt;"&amp;DATE(2019,8,31)),#N/A),IFERROR((SUMIFS('DATA INPUT'!$C$3:$C$3000,'DATA INPUT'!$B$3:$B$3000,'Report Tables'!AX$1,'DATA INPUT'!$A$3:$A$3000,"&gt;="&amp;DATE(2019,8,1),'DATA INPUT'!$A$3:$A$3000,"&lt;"&amp;DATE(2019,8,31),'DATA INPUT'!$F$3:$F$3000,"&lt;&gt;*Exclude*"))/(COUNTIFS('DATA INPUT'!$B$3:$B$3000,'Report Tables'!AX$1,'DATA INPUT'!$A$3:$A$3000,"&gt;="&amp;DATE(2019,8,1),'DATA INPUT'!$A$3:$A$3000,"&lt;"&amp;DATE(2019,8,31),'DATA INPUT'!$F$3:$F$3000,"&lt;&gt;*Exclude*")),#N/A))</f>
        <v>#N/A</v>
      </c>
    </row>
    <row r="35" spans="1:52" x14ac:dyDescent="0.3">
      <c r="A35" s="95" t="e">
        <f>VLOOKUP(B35,Information!$C$8:$F$15,4,FALSE)</f>
        <v>#N/A</v>
      </c>
      <c r="B35" s="46">
        <f>$B$11</f>
        <v>0</v>
      </c>
      <c r="C35" s="57" t="e">
        <f>IF($L$2="Yes",IFERROR((SUMIFS('DATA INPUT'!$E$3:$E$3000,'DATA INPUT'!$A$3:$A$3000,"&gt;="&amp;DATE(2017,1,1),'DATA INPUT'!$A$3:$A$3000,"&lt;="&amp;DATE(2017,12,31),'DATA INPUT'!$B$3:$B$3000,$B35))/(COUNTIFS('DATA INPUT'!$A$3:$A$3000,"&gt;="&amp;DATE(2017,1,1),'DATA INPUT'!$A$3:$A$3000,"&lt;="&amp;DATE(2017,12,31),'DATA INPUT'!$B$3:$B$3000,$B35)),#N/A),IFERROR((SUMIFS('DATA INPUT'!$E$3:$E$3000,'DATA INPUT'!$A$3:$A$3000,"&gt;="&amp;DATE(2017,1,1),'DATA INPUT'!$A$3:$A$3000,"&lt;="&amp;DATE(2017,12,31),'DATA INPUT'!$B$3:$B$3000,$B35,'DATA INPUT'!$F$3:$F$3000,"&lt;&gt;*Exclude*"))/(COUNTIFS('DATA INPUT'!$A$3:$A$3000,"&gt;="&amp;DATE(2017,1,1),'DATA INPUT'!$A$3:$A$3000,"&lt;="&amp;DATE(2017,12,31),'DATA INPUT'!$B$3:$B$3000,$B35,'DATA INPUT'!$F$3:$F$3000,"&lt;&gt;*Exclude*")),#N/A))</f>
        <v>#N/A</v>
      </c>
      <c r="D35" s="57" t="e">
        <f>IF($L$2="Yes",IFERROR((SUMIFS('DATA INPUT'!$E$3:$E$3000,'DATA INPUT'!$A$3:$A$3000,"&gt;="&amp;DATE(2018,1,1),'DATA INPUT'!$A$3:$A$3000,"&lt;="&amp;DATE(2018,12,31),'DATA INPUT'!$B$3:$B$3000,$B35))/(COUNTIFS('DATA INPUT'!$A$3:$A$3000,"&gt;="&amp;DATE(2018,1,1),'DATA INPUT'!$A$3:$A$3000,"&lt;="&amp;DATE(2018,12,31),'DATA INPUT'!$B$3:$B$3000,$B35)),#N/A),IFERROR((SUMIFS('DATA INPUT'!$E$3:$E$3000,'DATA INPUT'!$A$3:$A$3000,"&gt;="&amp;DATE(2018,1,1),'DATA INPUT'!$A$3:$A$3000,"&lt;="&amp;DATE(2018,12,31),'DATA INPUT'!$B$3:$B$3000,$B35,'DATA INPUT'!$F$3:$F$3000,"&lt;&gt;*Exclude*"))/(COUNTIFS('DATA INPUT'!$A$3:$A$3000,"&gt;="&amp;DATE(2018,1,1),'DATA INPUT'!$A$3:$A$3000,"&lt;="&amp;DATE(2018,12,31),'DATA INPUT'!$B$3:$B$3000,$B35,'DATA INPUT'!$F$3:$F$3000,"&lt;&gt;*Exclude*")),#N/A))</f>
        <v>#N/A</v>
      </c>
      <c r="E35" s="57" t="e">
        <f>IF($L$2="Yes",IFERROR((SUMIFS('DATA INPUT'!$E$3:$E$3000,'DATA INPUT'!$A$3:$A$3000,"&gt;="&amp;DATE(2019,1,1),'DATA INPUT'!$A$3:$A$3000,"&lt;="&amp;DATE(2019,12,31),'DATA INPUT'!$B$3:$B$3000,$B35))/(COUNTIFS('DATA INPUT'!$A$3:$A$3000,"&gt;="&amp;DATE(2019,1,1),'DATA INPUT'!$A$3:$A$3000,"&lt;="&amp;DATE(2019,12,31),'DATA INPUT'!$B$3:$B$3000,$B35)),#N/A),IFERROR((SUMIFS('DATA INPUT'!$E$3:$E$3000,'DATA INPUT'!$A$3:$A$3000,"&gt;="&amp;DATE(2019,1,1),'DATA INPUT'!$A$3:$A$3000,"&lt;="&amp;DATE(2019,12,31),'DATA INPUT'!$B$3:$B$3000,$B35,'DATA INPUT'!$F$3:$F$3000,"&lt;&gt;*Exclude*"))/(COUNTIFS('DATA INPUT'!$A$3:$A$3000,"&gt;="&amp;DATE(2019,1,1),'DATA INPUT'!$A$3:$A$3000,"&lt;="&amp;DATE(2019,12,31),'DATA INPUT'!$B$3:$B$3000,$B35,'DATA INPUT'!$F$3:$F$3000,"&lt;&gt;*Exclude*")),#N/A))</f>
        <v>#N/A</v>
      </c>
      <c r="F35" s="57" t="e">
        <f>IF($L$2="Yes",IFERROR((SUMIFS('DATA INPUT'!$E$3:$E$3000,'DATA INPUT'!$A$3:$A$3000,"&gt;="&amp;DATE(2020,1,1),'DATA INPUT'!$A$3:$A$3000,"&lt;="&amp;DATE(2020,12,31),'DATA INPUT'!$B$3:$B$3000,$B35))/(COUNTIFS('DATA INPUT'!$A$3:$A$3000,"&gt;="&amp;DATE(2020,1,1),'DATA INPUT'!$A$3:$A$3000,"&lt;="&amp;DATE(2020,12,31),'DATA INPUT'!$B$3:$B$3000,$B35)),#N/A),IFERROR((SUMIFS('DATA INPUT'!$E$3:$E$3000,'DATA INPUT'!$A$3:$A$3000,"&gt;="&amp;DATE(2020,1,1),'DATA INPUT'!$A$3:$A$3000,"&lt;="&amp;DATE(2020,12,31),'DATA INPUT'!$B$3:$B$3000,$B35,'DATA INPUT'!$F$3:$F$3000,"&lt;&gt;*Exclude*"))/(COUNTIFS('DATA INPUT'!$A$3:$A$3000,"&gt;="&amp;DATE(2020,1,1),'DATA INPUT'!$A$3:$A$3000,"&lt;="&amp;DATE(2020,12,31),'DATA INPUT'!$B$3:$B$3000,$B35,'DATA INPUT'!$F$3:$F$3000,"&lt;&gt;*Exclude*")),#N/A))</f>
        <v>#N/A</v>
      </c>
      <c r="G35" s="57" t="e">
        <f>IF($L$2="Yes",IFERROR((SUMIFS('DATA INPUT'!$E$3:$E$3000,'DATA INPUT'!$A$3:$A$3000,"&gt;="&amp;DATE(2021,1,1),'DATA INPUT'!$A$3:$A$3000,"&lt;="&amp;DATE(2021,12,31),'DATA INPUT'!$B$3:$B$3000,$B35))/(COUNTIFS('DATA INPUT'!$A$3:$A$3000,"&gt;="&amp;DATE(2021,1,1),'DATA INPUT'!$A$3:$A$3000,"&lt;="&amp;DATE(2021,12,31),'DATA INPUT'!$B$3:$B$3000,$B35)),#N/A),IFERROR((SUMIFS('DATA INPUT'!$E$3:$E$3000,'DATA INPUT'!$A$3:$A$3000,"&gt;="&amp;DATE(2021,1,1),'DATA INPUT'!$A$3:$A$3000,"&lt;="&amp;DATE(2021,12,31),'DATA INPUT'!$B$3:$B$3000,$B35,'DATA INPUT'!$F$3:$F$3000,"&lt;&gt;*Exclude*"))/(COUNTIFS('DATA INPUT'!$A$3:$A$3000,"&gt;="&amp;DATE(2021,1,1),'DATA INPUT'!$A$3:$A$3000,"&lt;="&amp;DATE(2021,12,31),'DATA INPUT'!$B$3:$B$3000,$B35,'DATA INPUT'!$F$3:$F$3000,"&lt;&gt;*Exclude*")),#N/A))</f>
        <v>#N/A</v>
      </c>
      <c r="H35" s="57" t="e">
        <f>IF($L$2="Yes",IFERROR((SUMIFS('DATA INPUT'!$E$3:$E$3000,'DATA INPUT'!$A$3:$A$3000,"&gt;="&amp;DATE(2022,1,1),'DATA INPUT'!$A$3:$A$3000,"&lt;="&amp;DATE(2022,12,31),'DATA INPUT'!$B$3:$B$3000,$B35))/(COUNTIFS('DATA INPUT'!$A$3:$A$3000,"&gt;="&amp;DATE(2022,1,1),'DATA INPUT'!$A$3:$A$3000,"&lt;="&amp;DATE(2022,12,31),'DATA INPUT'!$B$3:$B$3000,$B35)),#N/A),IFERROR((SUMIFS('DATA INPUT'!$E$3:$E$3000,'DATA INPUT'!$A$3:$A$3000,"&gt;="&amp;DATE(2022,1,1),'DATA INPUT'!$A$3:$A$3000,"&lt;="&amp;DATE(2022,12,31),'DATA INPUT'!$B$3:$B$3000,$B35,'DATA INPUT'!$F$3:$F$3000,"&lt;&gt;*Exclude*"))/(COUNTIFS('DATA INPUT'!$A$3:$A$3000,"&gt;="&amp;DATE(2022,1,1),'DATA INPUT'!$A$3:$A$3000,"&lt;="&amp;DATE(2022,12,31),'DATA INPUT'!$B$3:$B$3000,$B35,'DATA INPUT'!$F$3:$F$3000,"&lt;&gt;*Exclude*")),#N/A))</f>
        <v>#N/A</v>
      </c>
      <c r="I35" s="57" t="e">
        <f>IF($L$2="Yes",IFERROR((SUMIFS('DATA INPUT'!$E$3:$E$3000,'DATA INPUT'!$A$3:$A$3000,"&gt;="&amp;DATE(2023,1,1),'DATA INPUT'!$A$3:$A$3000,"&lt;="&amp;DATE(2023,12,31),'DATA INPUT'!$B$3:$B$3000,$B35))/(COUNTIFS('DATA INPUT'!$A$3:$A$3000,"&gt;="&amp;DATE(2023,1,1),'DATA INPUT'!$A$3:$A$3000,"&lt;="&amp;DATE(2023,12,31),'DATA INPUT'!$B$3:$B$3000,$B35)),#N/A),IFERROR((SUMIFS('DATA INPUT'!$E$3:$E$3000,'DATA INPUT'!$A$3:$A$3000,"&gt;="&amp;DATE(2023,1,1),'DATA INPUT'!$A$3:$A$3000,"&lt;="&amp;DATE(2023,12,31),'DATA INPUT'!$B$3:$B$3000,$B35,'DATA INPUT'!$F$3:$F$3000,"&lt;&gt;*Exclude*"))/(COUNTIFS('DATA INPUT'!$A$3:$A$3000,"&gt;="&amp;DATE(2023,1,1),'DATA INPUT'!$A$3:$A$3000,"&lt;="&amp;DATE(2023,12,31),'DATA INPUT'!$B$3:$B$3000,$B35,'DATA INPUT'!$F$3:$F$3000,"&lt;&gt;*Exclude*")),#N/A))</f>
        <v>#N/A</v>
      </c>
      <c r="J35" s="57" t="e">
        <f>IF($L$2="Yes",IFERROR((SUMIFS('DATA INPUT'!$E$3:$E$3000,'DATA INPUT'!$A$3:$A$3000,"&gt;="&amp;DATE(2024,1,1),'DATA INPUT'!$A$3:$A$3000,"&lt;="&amp;DATE(2024,12,31),'DATA INPUT'!$B$3:$B$3000,$B35))/(COUNTIFS('DATA INPUT'!$A$3:$A$3000,"&gt;="&amp;DATE(2024,1,1),'DATA INPUT'!$A$3:$A$3000,"&lt;="&amp;DATE(2024,12,31),'DATA INPUT'!$B$3:$B$3000,$B35)),#N/A),IFERROR((SUMIFS('DATA INPUT'!$E$3:$E$3000,'DATA INPUT'!$A$3:$A$3000,"&gt;="&amp;DATE(2024,1,1),'DATA INPUT'!$A$3:$A$3000,"&lt;="&amp;DATE(2024,12,31),'DATA INPUT'!$B$3:$B$3000,$B35,'DATA INPUT'!$F$3:$F$3000,"&lt;&gt;*Exclude*"))/(COUNTIFS('DATA INPUT'!$A$3:$A$3000,"&gt;="&amp;DATE(2024,1,1),'DATA INPUT'!$A$3:$A$3000,"&lt;="&amp;DATE(2024,12,31),'DATA INPUT'!$B$3:$B$3000,$B35,'DATA INPUT'!$F$3:$F$3000,"&lt;&gt;*Exclude*")),#N/A))</f>
        <v>#N/A</v>
      </c>
      <c r="K35" s="57" t="e">
        <f>IF($L$2="Yes",IFERROR((SUMIFS('DATA INPUT'!$E$3:$E$3000,'DATA INPUT'!$A$3:$A$3000,"&gt;="&amp;DATE(2025,1,1),'DATA INPUT'!$A$3:$A$3000,"&lt;="&amp;DATE(2025,12,31),'DATA INPUT'!$B$3:$B$3000,$B35))/(COUNTIFS('DATA INPUT'!$A$3:$A$3000,"&gt;="&amp;DATE(2025,1,1),'DATA INPUT'!$A$3:$A$3000,"&lt;="&amp;DATE(2025,12,31),'DATA INPUT'!$B$3:$B$3000,$B35)),#N/A),IFERROR((SUMIFS('DATA INPUT'!$E$3:$E$3000,'DATA INPUT'!$A$3:$A$3000,"&gt;="&amp;DATE(2025,1,1),'DATA INPUT'!$A$3:$A$3000,"&lt;="&amp;DATE(2025,12,31),'DATA INPUT'!$B$3:$B$3000,$B35,'DATA INPUT'!$F$3:$F$3000,"&lt;&gt;*Exclude*"))/(COUNTIFS('DATA INPUT'!$A$3:$A$3000,"&gt;="&amp;DATE(2025,1,1),'DATA INPUT'!$A$3:$A$3000,"&lt;="&amp;DATE(2025,12,31),'DATA INPUT'!$B$3:$B$3000,$B35,'DATA INPUT'!$F$3:$F$3000,"&lt;&gt;*Exclude*")),#N/A))</f>
        <v>#N/A</v>
      </c>
      <c r="L35" s="69" t="str">
        <f t="shared" si="13"/>
        <v/>
      </c>
      <c r="Y35" s="149"/>
      <c r="Z35" s="149" t="s">
        <v>20</v>
      </c>
      <c r="AA35" s="136" t="e">
        <f>IF($L$2="Yes",IF(SUMIFS('DATA INPUT'!$E$3:$E$3000,'DATA INPUT'!$B$3:$B$3000,'Report Tables'!AA$1,'DATA INPUT'!$A$3:$A$3000,"&gt;="&amp;DATE(2019,9,1),'DATA INPUT'!$A$3:$A$3000,"&lt;"&amp;DATE(2019,9,31))=0,#N/A,(SUMIFS('DATA INPUT'!$E$3:$E$3000,'DATA INPUT'!$B$3:$B$3000,'Report Tables'!AA$1,'DATA INPUT'!$A$3:$A$3000,"&gt;="&amp;DATE(2019,9,1),'DATA INPUT'!$A$3:$A$3000,"&lt;"&amp;DATE(2019,9,31)))),IF(SUMIFS('DATA INPUT'!$E$3:$E$3000,'DATA INPUT'!$B$3:$B$3000,'Report Tables'!AA$1,'DATA INPUT'!$A$3:$A$3000,"&gt;="&amp;DATE(2019,9,1),'DATA INPUT'!$A$3:$A$3000,"&lt;"&amp;DATE(2019,9,31),'DATA INPUT'!$F$3:$F$3000,"&lt;&gt;*Exclude*")=0,#N/A,(SUMIFS('DATA INPUT'!$E$3:$E$3000,'DATA INPUT'!$B$3:$B$3000,'Report Tables'!AA$1,'DATA INPUT'!$A$3:$A$3000,"&gt;="&amp;DATE(2019,9,1),'DATA INPUT'!$A$3:$A$3000,"&lt;"&amp;DATE(2019,9,31),'DATA INPUT'!$F$3:$F$3000,"&lt;&gt;*Exclude*"))))</f>
        <v>#N/A</v>
      </c>
      <c r="AB35" s="136" t="e">
        <f>IF($L$2="Yes",IF(SUMIFS('DATA INPUT'!$E$3:$E$3000,'DATA INPUT'!$B$3:$B$3000,'Report Tables'!AB$1,'DATA INPUT'!$A$3:$A$3000,"&gt;="&amp;DATE(2019,9,1),'DATA INPUT'!$A$3:$A$3000,"&lt;"&amp;DATE(2019,9,31))=0,#N/A,(SUMIFS('DATA INPUT'!$E$3:$E$3000,'DATA INPUT'!$B$3:$B$3000,'Report Tables'!AB$1,'DATA INPUT'!$A$3:$A$3000,"&gt;="&amp;DATE(2019,9,1),'DATA INPUT'!$A$3:$A$3000,"&lt;"&amp;DATE(2019,9,31)))),IF(SUMIFS('DATA INPUT'!$E$3:$E$3000,'DATA INPUT'!$B$3:$B$3000,'Report Tables'!AB$1,'DATA INPUT'!$A$3:$A$3000,"&gt;="&amp;DATE(2019,9,1),'DATA INPUT'!$A$3:$A$3000,"&lt;"&amp;DATE(2019,9,31),'DATA INPUT'!$F$3:$F$3000,"&lt;&gt;*Exclude*")=0,#N/A,(SUMIFS('DATA INPUT'!$E$3:$E$3000,'DATA INPUT'!$B$3:$B$3000,'Report Tables'!AB$1,'DATA INPUT'!$A$3:$A$3000,"&gt;="&amp;DATE(2019,9,1),'DATA INPUT'!$A$3:$A$3000,"&lt;"&amp;DATE(2019,9,31),'DATA INPUT'!$F$3:$F$3000,"&lt;&gt;*Exclude*"))))</f>
        <v>#N/A</v>
      </c>
      <c r="AC35" s="136" t="e">
        <f>IF($L$2="Yes",IF(SUMIFS('DATA INPUT'!$E$3:$E$3000,'DATA INPUT'!$B$3:$B$3000,'Report Tables'!AC$1,'DATA INPUT'!$A$3:$A$3000,"&gt;="&amp;DATE(2019,9,1),'DATA INPUT'!$A$3:$A$3000,"&lt;"&amp;DATE(2019,9,31))=0,#N/A,(SUMIFS('DATA INPUT'!$E$3:$E$3000,'DATA INPUT'!$B$3:$B$3000,'Report Tables'!AC$1,'DATA INPUT'!$A$3:$A$3000,"&gt;="&amp;DATE(2019,9,1),'DATA INPUT'!$A$3:$A$3000,"&lt;"&amp;DATE(2019,9,31)))),IF(SUMIFS('DATA INPUT'!$E$3:$E$3000,'DATA INPUT'!$B$3:$B$3000,'Report Tables'!AC$1,'DATA INPUT'!$A$3:$A$3000,"&gt;="&amp;DATE(2019,9,1),'DATA INPUT'!$A$3:$A$3000,"&lt;"&amp;DATE(2019,9,31),'DATA INPUT'!$F$3:$F$3000,"&lt;&gt;*Exclude*")=0,#N/A,(SUMIFS('DATA INPUT'!$E$3:$E$3000,'DATA INPUT'!$B$3:$B$3000,'Report Tables'!AC$1,'DATA INPUT'!$A$3:$A$3000,"&gt;="&amp;DATE(2019,9,1),'DATA INPUT'!$A$3:$A$3000,"&lt;"&amp;DATE(2019,9,31),'DATA INPUT'!$F$3:$F$3000,"&lt;&gt;*Exclude*"))))</f>
        <v>#N/A</v>
      </c>
      <c r="AD35" s="136" t="e">
        <f>IF($L$2="Yes",IF(SUMIFS('DATA INPUT'!$E$3:$E$3000,'DATA INPUT'!$B$3:$B$3000,'Report Tables'!AD$1,'DATA INPUT'!$A$3:$A$3000,"&gt;="&amp;DATE(2019,9,1),'DATA INPUT'!$A$3:$A$3000,"&lt;"&amp;DATE(2019,9,31))=0,#N/A,(SUMIFS('DATA INPUT'!$E$3:$E$3000,'DATA INPUT'!$B$3:$B$3000,'Report Tables'!AD$1,'DATA INPUT'!$A$3:$A$3000,"&gt;="&amp;DATE(2019,9,1),'DATA INPUT'!$A$3:$A$3000,"&lt;"&amp;DATE(2019,9,31)))),IF(SUMIFS('DATA INPUT'!$E$3:$E$3000,'DATA INPUT'!$B$3:$B$3000,'Report Tables'!AD$1,'DATA INPUT'!$A$3:$A$3000,"&gt;="&amp;DATE(2019,9,1),'DATA INPUT'!$A$3:$A$3000,"&lt;"&amp;DATE(2019,9,31),'DATA INPUT'!$F$3:$F$3000,"&lt;&gt;*Exclude*")=0,#N/A,(SUMIFS('DATA INPUT'!$E$3:$E$3000,'DATA INPUT'!$B$3:$B$3000,'Report Tables'!AD$1,'DATA INPUT'!$A$3:$A$3000,"&gt;="&amp;DATE(2019,9,1),'DATA INPUT'!$A$3:$A$3000,"&lt;"&amp;DATE(2019,9,31),'DATA INPUT'!$F$3:$F$3000,"&lt;&gt;*Exclude*"))))</f>
        <v>#N/A</v>
      </c>
      <c r="AE35" s="136" t="e">
        <f>IF($L$2="Yes",IF(SUMIFS('DATA INPUT'!$E$3:$E$3000,'DATA INPUT'!$B$3:$B$3000,'Report Tables'!AE$1,'DATA INPUT'!$A$3:$A$3000,"&gt;="&amp;DATE(2019,9,1),'DATA INPUT'!$A$3:$A$3000,"&lt;"&amp;DATE(2019,9,31))=0,#N/A,(SUMIFS('DATA INPUT'!$E$3:$E$3000,'DATA INPUT'!$B$3:$B$3000,'Report Tables'!AE$1,'DATA INPUT'!$A$3:$A$3000,"&gt;="&amp;DATE(2019,9,1),'DATA INPUT'!$A$3:$A$3000,"&lt;"&amp;DATE(2019,9,31)))),IF(SUMIFS('DATA INPUT'!$E$3:$E$3000,'DATA INPUT'!$B$3:$B$3000,'Report Tables'!AE$1,'DATA INPUT'!$A$3:$A$3000,"&gt;="&amp;DATE(2019,9,1),'DATA INPUT'!$A$3:$A$3000,"&lt;"&amp;DATE(2019,9,31),'DATA INPUT'!$F$3:$F$3000,"&lt;&gt;*Exclude*")=0,#N/A,(SUMIFS('DATA INPUT'!$E$3:$E$3000,'DATA INPUT'!$B$3:$B$3000,'Report Tables'!AE$1,'DATA INPUT'!$A$3:$A$3000,"&gt;="&amp;DATE(2019,9,1),'DATA INPUT'!$A$3:$A$3000,"&lt;"&amp;DATE(2019,9,31),'DATA INPUT'!$F$3:$F$3000,"&lt;&gt;*Exclude*"))))</f>
        <v>#N/A</v>
      </c>
      <c r="AF35" s="136" t="e">
        <f>IF($L$2="Yes",IF(SUMIFS('DATA INPUT'!$E$3:$E$3000,'DATA INPUT'!$B$3:$B$3000,'Report Tables'!AF$1,'DATA INPUT'!$A$3:$A$3000,"&gt;="&amp;DATE(2019,9,1),'DATA INPUT'!$A$3:$A$3000,"&lt;"&amp;DATE(2019,9,31))=0,#N/A,(SUMIFS('DATA INPUT'!$E$3:$E$3000,'DATA INPUT'!$B$3:$B$3000,'Report Tables'!AF$1,'DATA INPUT'!$A$3:$A$3000,"&gt;="&amp;DATE(2019,9,1),'DATA INPUT'!$A$3:$A$3000,"&lt;"&amp;DATE(2019,9,31)))),IF(SUMIFS('DATA INPUT'!$E$3:$E$3000,'DATA INPUT'!$B$3:$B$3000,'Report Tables'!AF$1,'DATA INPUT'!$A$3:$A$3000,"&gt;="&amp;DATE(2019,9,1),'DATA INPUT'!$A$3:$A$3000,"&lt;"&amp;DATE(2019,9,31),'DATA INPUT'!$F$3:$F$3000,"&lt;&gt;*Exclude*")=0,#N/A,(SUMIFS('DATA INPUT'!$E$3:$E$3000,'DATA INPUT'!$B$3:$B$3000,'Report Tables'!AF$1,'DATA INPUT'!$A$3:$A$3000,"&gt;="&amp;DATE(2019,9,1),'DATA INPUT'!$A$3:$A$3000,"&lt;"&amp;DATE(2019,9,31),'DATA INPUT'!$F$3:$F$3000,"&lt;&gt;*Exclude*"))))</f>
        <v>#N/A</v>
      </c>
      <c r="AG35" s="136" t="e">
        <f>IF($L$2="Yes",IF(SUMIFS('DATA INPUT'!$E$3:$E$3000,'DATA INPUT'!$B$3:$B$3000,'Report Tables'!AG$1,'DATA INPUT'!$A$3:$A$3000,"&gt;="&amp;DATE(2019,9,1),'DATA INPUT'!$A$3:$A$3000,"&lt;"&amp;DATE(2019,9,31))=0,#N/A,(SUMIFS('DATA INPUT'!$E$3:$E$3000,'DATA INPUT'!$B$3:$B$3000,'Report Tables'!AG$1,'DATA INPUT'!$A$3:$A$3000,"&gt;="&amp;DATE(2019,9,1),'DATA INPUT'!$A$3:$A$3000,"&lt;"&amp;DATE(2019,9,31)))),IF(SUMIFS('DATA INPUT'!$E$3:$E$3000,'DATA INPUT'!$B$3:$B$3000,'Report Tables'!AG$1,'DATA INPUT'!$A$3:$A$3000,"&gt;="&amp;DATE(2019,9,1),'DATA INPUT'!$A$3:$A$3000,"&lt;"&amp;DATE(2019,9,31),'DATA INPUT'!$F$3:$F$3000,"&lt;&gt;*Exclude*")=0,#N/A,(SUMIFS('DATA INPUT'!$E$3:$E$3000,'DATA INPUT'!$B$3:$B$3000,'Report Tables'!AG$1,'DATA INPUT'!$A$3:$A$3000,"&gt;="&amp;DATE(2019,9,1),'DATA INPUT'!$A$3:$A$3000,"&lt;"&amp;DATE(2019,9,31),'DATA INPUT'!$F$3:$F$3000,"&lt;&gt;*Exclude*"))))</f>
        <v>#N/A</v>
      </c>
      <c r="AH35" s="136" t="e">
        <f>IF($L$2="Yes",IF(SUMIFS('DATA INPUT'!$E$3:$E$3000,'DATA INPUT'!$B$3:$B$3000,'Report Tables'!AH$1,'DATA INPUT'!$A$3:$A$3000,"&gt;="&amp;DATE(2019,9,1),'DATA INPUT'!$A$3:$A$3000,"&lt;"&amp;DATE(2019,9,31))=0,#N/A,(SUMIFS('DATA INPUT'!$E$3:$E$3000,'DATA INPUT'!$B$3:$B$3000,'Report Tables'!AH$1,'DATA INPUT'!$A$3:$A$3000,"&gt;="&amp;DATE(2019,9,1),'DATA INPUT'!$A$3:$A$3000,"&lt;"&amp;DATE(2019,9,31)))),IF(SUMIFS('DATA INPUT'!$E$3:$E$3000,'DATA INPUT'!$B$3:$B$3000,'Report Tables'!AH$1,'DATA INPUT'!$A$3:$A$3000,"&gt;="&amp;DATE(2019,9,1),'DATA INPUT'!$A$3:$A$3000,"&lt;"&amp;DATE(2019,9,31),'DATA INPUT'!$F$3:$F$3000,"&lt;&gt;*Exclude*")=0,#N/A,(SUMIFS('DATA INPUT'!$E$3:$E$3000,'DATA INPUT'!$B$3:$B$3000,'Report Tables'!AH$1,'DATA INPUT'!$A$3:$A$3000,"&gt;="&amp;DATE(2019,9,1),'DATA INPUT'!$A$3:$A$3000,"&lt;"&amp;DATE(2019,9,31),'DATA INPUT'!$F$3:$F$3000,"&lt;&gt;*Exclude*"))))</f>
        <v>#N/A</v>
      </c>
      <c r="AI35" s="136" t="e">
        <f t="shared" si="0"/>
        <v>#N/A</v>
      </c>
      <c r="AJ35" s="136" t="e">
        <f>IF($L$2="Yes",IF(SUMIFS('DATA INPUT'!$D$3:$D$3000,'DATA INPUT'!$A$3:$A$3000,"&gt;="&amp;DATE(2019,9,1),'DATA INPUT'!$A$3:$A$3000,"&lt;"&amp;DATE(2019,9,31),'DATA INPUT'!$G$3:$G$3000,"&lt;&gt;*School service*")=0,#N/A,(SUMIFS('DATA INPUT'!$D$3:$D$3000,'DATA INPUT'!$A$3:$A$3000,"&gt;="&amp;DATE(2019,9,1),'DATA INPUT'!$A$3:$A$3000,"&lt;"&amp;DATE(2019,9,31),'DATA INPUT'!$G$3:$G$3000,"&lt;&gt;*School service*"))),IF(SUMIFS('DATA INPUT'!$D$3:$D$3000,'DATA INPUT'!$A$3:$A$3000,"&gt;="&amp;DATE(2019,9,1),'DATA INPUT'!$A$3:$A$3000,"&lt;"&amp;DATE(2019,9,31),'DATA INPUT'!$F$3:$F$3000,"&lt;&gt;*Exclude*",'DATA INPUT'!$G$3:$G$3000,"&lt;&gt;*School service*")=0,#N/A,(SUMIFS('DATA INPUT'!$D$3:$D$3000,'DATA INPUT'!$A$3:$A$3000,"&gt;="&amp;DATE(2019,9,1),'DATA INPUT'!$A$3:$A$3000,"&lt;"&amp;DATE(2019,9,31),'DATA INPUT'!$F$3:$F$3000,"&lt;&gt;*Exclude*",'DATA INPUT'!$G$3:$G$3000,"&lt;&gt;*School service*"))))</f>
        <v>#N/A</v>
      </c>
      <c r="AK35" s="136" t="e">
        <f>AI35-AJ35</f>
        <v>#N/A</v>
      </c>
      <c r="AM35" s="117" t="e">
        <f>IF($L$2="Yes",IFERROR((SUMIFS('DATA INPUT'!$E$3:$E$3000,'DATA INPUT'!$B$3:$B$3000,'Report Tables'!AM$1,'DATA INPUT'!$A$3:$A$3000,"&gt;="&amp;DATE(2019,9,1),'DATA INPUT'!$A$3:$A$3000,"&lt;"&amp;DATE(2019,9,31)))/COUNTIFS('DATA INPUT'!$B$3:$B$3000,'Report Tables'!AM$1,'DATA INPUT'!$A$3:$A$3000,"&gt;="&amp;DATE(2019,9,1),'DATA INPUT'!$A$3:$A$3000,"&lt;"&amp;DATE(2019,9,31)),#N/A),IFERROR((SUMIFS('DATA INPUT'!$E$3:$E$3000,'DATA INPUT'!$B$3:$B$3000,'Report Tables'!AM$1,'DATA INPUT'!$A$3:$A$3000,"&gt;="&amp;DATE(2019,9,1),'DATA INPUT'!$A$3:$A$3000,"&lt;"&amp;DATE(2019,9,31),'DATA INPUT'!$F$3:$F$3000,"&lt;&gt;*Exclude*"))/(COUNTIFS('DATA INPUT'!$B$3:$B$3000,'Report Tables'!AM$1,'DATA INPUT'!$A$3:$A$3000,"&gt;="&amp;DATE(2019,9,1),'DATA INPUT'!$A$3:$A$3000,"&lt;"&amp;DATE(2019,9,31),'DATA INPUT'!$F$3:$F$3000,"&lt;&gt;*Exclude*")),#N/A))</f>
        <v>#N/A</v>
      </c>
      <c r="AN35" s="117" t="e">
        <f>IF($L$2="Yes",IFERROR((SUMIFS('DATA INPUT'!$E$3:$E$3000,'DATA INPUT'!$B$3:$B$3000,'Report Tables'!AN$1,'DATA INPUT'!$A$3:$A$3000,"&gt;="&amp;DATE(2019,9,1),'DATA INPUT'!$A$3:$A$3000,"&lt;"&amp;DATE(2019,9,31)))/COUNTIFS('DATA INPUT'!$B$3:$B$3000,'Report Tables'!AN$1,'DATA INPUT'!$A$3:$A$3000,"&gt;="&amp;DATE(2019,9,1),'DATA INPUT'!$A$3:$A$3000,"&lt;"&amp;DATE(2019,9,31)),#N/A),IFERROR((SUMIFS('DATA INPUT'!$E$3:$E$3000,'DATA INPUT'!$B$3:$B$3000,'Report Tables'!AN$1,'DATA INPUT'!$A$3:$A$3000,"&gt;="&amp;DATE(2019,9,1),'DATA INPUT'!$A$3:$A$3000,"&lt;"&amp;DATE(2019,9,31),'DATA INPUT'!$F$3:$F$3000,"&lt;&gt;*Exclude*"))/(COUNTIFS('DATA INPUT'!$B$3:$B$3000,'Report Tables'!AN$1,'DATA INPUT'!$A$3:$A$3000,"&gt;="&amp;DATE(2019,9,1),'DATA INPUT'!$A$3:$A$3000,"&lt;"&amp;DATE(2019,9,31),'DATA INPUT'!$F$3:$F$3000,"&lt;&gt;*Exclude*")),#N/A))</f>
        <v>#N/A</v>
      </c>
      <c r="AO35" s="117" t="e">
        <f>IF($L$2="Yes",IFERROR((SUMIFS('DATA INPUT'!$E$3:$E$3000,'DATA INPUT'!$B$3:$B$3000,'Report Tables'!AO$1,'DATA INPUT'!$A$3:$A$3000,"&gt;="&amp;DATE(2019,9,1),'DATA INPUT'!$A$3:$A$3000,"&lt;"&amp;DATE(2019,9,31)))/COUNTIFS('DATA INPUT'!$B$3:$B$3000,'Report Tables'!AO$1,'DATA INPUT'!$A$3:$A$3000,"&gt;="&amp;DATE(2019,9,1),'DATA INPUT'!$A$3:$A$3000,"&lt;"&amp;DATE(2019,9,31)),#N/A),IFERROR((SUMIFS('DATA INPUT'!$E$3:$E$3000,'DATA INPUT'!$B$3:$B$3000,'Report Tables'!AO$1,'DATA INPUT'!$A$3:$A$3000,"&gt;="&amp;DATE(2019,9,1),'DATA INPUT'!$A$3:$A$3000,"&lt;"&amp;DATE(2019,9,31),'DATA INPUT'!$F$3:$F$3000,"&lt;&gt;*Exclude*"))/(COUNTIFS('DATA INPUT'!$B$3:$B$3000,'Report Tables'!AO$1,'DATA INPUT'!$A$3:$A$3000,"&gt;="&amp;DATE(2019,9,1),'DATA INPUT'!$A$3:$A$3000,"&lt;"&amp;DATE(2019,9,31),'DATA INPUT'!$F$3:$F$3000,"&lt;&gt;*Exclude*")),#N/A))</f>
        <v>#N/A</v>
      </c>
      <c r="AP35" s="117" t="e">
        <f>IF($L$2="Yes",IFERROR((SUMIFS('DATA INPUT'!$E$3:$E$3000,'DATA INPUT'!$B$3:$B$3000,'Report Tables'!AP$1,'DATA INPUT'!$A$3:$A$3000,"&gt;="&amp;DATE(2019,9,1),'DATA INPUT'!$A$3:$A$3000,"&lt;"&amp;DATE(2019,9,31)))/COUNTIFS('DATA INPUT'!$B$3:$B$3000,'Report Tables'!AP$1,'DATA INPUT'!$A$3:$A$3000,"&gt;="&amp;DATE(2019,9,1),'DATA INPUT'!$A$3:$A$3000,"&lt;"&amp;DATE(2019,9,31)),#N/A),IFERROR((SUMIFS('DATA INPUT'!$E$3:$E$3000,'DATA INPUT'!$B$3:$B$3000,'Report Tables'!AP$1,'DATA INPUT'!$A$3:$A$3000,"&gt;="&amp;DATE(2019,9,1),'DATA INPUT'!$A$3:$A$3000,"&lt;"&amp;DATE(2019,9,31),'DATA INPUT'!$F$3:$F$3000,"&lt;&gt;*Exclude*"))/(COUNTIFS('DATA INPUT'!$B$3:$B$3000,'Report Tables'!AP$1,'DATA INPUT'!$A$3:$A$3000,"&gt;="&amp;DATE(2019,9,1),'DATA INPUT'!$A$3:$A$3000,"&lt;"&amp;DATE(2019,9,31),'DATA INPUT'!$F$3:$F$3000,"&lt;&gt;*Exclude*")),#N/A))</f>
        <v>#N/A</v>
      </c>
      <c r="AQ35" s="117" t="e">
        <f>IF($L$2="Yes",IFERROR((SUMIFS('DATA INPUT'!$E$3:$E$3000,'DATA INPUT'!$B$3:$B$3000,'Report Tables'!AQ$1,'DATA INPUT'!$A$3:$A$3000,"&gt;="&amp;DATE(2019,9,1),'DATA INPUT'!$A$3:$A$3000,"&lt;"&amp;DATE(2019,9,31)))/COUNTIFS('DATA INPUT'!$B$3:$B$3000,'Report Tables'!AQ$1,'DATA INPUT'!$A$3:$A$3000,"&gt;="&amp;DATE(2019,9,1),'DATA INPUT'!$A$3:$A$3000,"&lt;"&amp;DATE(2019,9,31)),#N/A),IFERROR((SUMIFS('DATA INPUT'!$E$3:$E$3000,'DATA INPUT'!$B$3:$B$3000,'Report Tables'!AQ$1,'DATA INPUT'!$A$3:$A$3000,"&gt;="&amp;DATE(2019,9,1),'DATA INPUT'!$A$3:$A$3000,"&lt;"&amp;DATE(2019,9,31),'DATA INPUT'!$F$3:$F$3000,"&lt;&gt;*Exclude*"))/(COUNTIFS('DATA INPUT'!$B$3:$B$3000,'Report Tables'!AQ$1,'DATA INPUT'!$A$3:$A$3000,"&gt;="&amp;DATE(2019,9,1),'DATA INPUT'!$A$3:$A$3000,"&lt;"&amp;DATE(2019,9,31),'DATA INPUT'!$F$3:$F$3000,"&lt;&gt;*Exclude*")),#N/A))</f>
        <v>#N/A</v>
      </c>
      <c r="AR35" s="117" t="e">
        <f>IF($L$2="Yes",IFERROR((SUMIFS('DATA INPUT'!$E$3:$E$3000,'DATA INPUT'!$B$3:$B$3000,'Report Tables'!AR$1,'DATA INPUT'!$A$3:$A$3000,"&gt;="&amp;DATE(2019,9,1),'DATA INPUT'!$A$3:$A$3000,"&lt;"&amp;DATE(2019,9,31)))/COUNTIFS('DATA INPUT'!$B$3:$B$3000,'Report Tables'!AR$1,'DATA INPUT'!$A$3:$A$3000,"&gt;="&amp;DATE(2019,9,1),'DATA INPUT'!$A$3:$A$3000,"&lt;"&amp;DATE(2019,9,31)),#N/A),IFERROR((SUMIFS('DATA INPUT'!$E$3:$E$3000,'DATA INPUT'!$B$3:$B$3000,'Report Tables'!AR$1,'DATA INPUT'!$A$3:$A$3000,"&gt;="&amp;DATE(2019,9,1),'DATA INPUT'!$A$3:$A$3000,"&lt;"&amp;DATE(2019,9,31),'DATA INPUT'!$F$3:$F$3000,"&lt;&gt;*Exclude*"))/(COUNTIFS('DATA INPUT'!$B$3:$B$3000,'Report Tables'!AR$1,'DATA INPUT'!$A$3:$A$3000,"&gt;="&amp;DATE(2019,9,1),'DATA INPUT'!$A$3:$A$3000,"&lt;"&amp;DATE(2019,9,31),'DATA INPUT'!$F$3:$F$3000,"&lt;&gt;*Exclude*")),#N/A))</f>
        <v>#N/A</v>
      </c>
      <c r="AS35" s="117" t="e">
        <f>IF($L$2="Yes",IFERROR((SUMIFS('DATA INPUT'!$E$3:$E$3000,'DATA INPUT'!$B$3:$B$3000,'Report Tables'!AS$1,'DATA INPUT'!$A$3:$A$3000,"&gt;="&amp;DATE(2019,9,1),'DATA INPUT'!$A$3:$A$3000,"&lt;"&amp;DATE(2019,9,31)))/COUNTIFS('DATA INPUT'!$B$3:$B$3000,'Report Tables'!AS$1,'DATA INPUT'!$A$3:$A$3000,"&gt;="&amp;DATE(2019,9,1),'DATA INPUT'!$A$3:$A$3000,"&lt;"&amp;DATE(2019,9,31)),#N/A),IFERROR((SUMIFS('DATA INPUT'!$E$3:$E$3000,'DATA INPUT'!$B$3:$B$3000,'Report Tables'!AS$1,'DATA INPUT'!$A$3:$A$3000,"&gt;="&amp;DATE(2019,9,1),'DATA INPUT'!$A$3:$A$3000,"&lt;"&amp;DATE(2019,9,31),'DATA INPUT'!$F$3:$F$3000,"&lt;&gt;*Exclude*"))/(COUNTIFS('DATA INPUT'!$B$3:$B$3000,'Report Tables'!AS$1,'DATA INPUT'!$A$3:$A$3000,"&gt;="&amp;DATE(2019,9,1),'DATA INPUT'!$A$3:$A$3000,"&lt;"&amp;DATE(2019,9,31),'DATA INPUT'!$F$3:$F$3000,"&lt;&gt;*Exclude*")),#N/A))</f>
        <v>#N/A</v>
      </c>
      <c r="AT35" s="117" t="e">
        <f>IF($L$2="Yes",IFERROR((SUMIFS('DATA INPUT'!$E$3:$E$3000,'DATA INPUT'!$B$3:$B$3000,'Report Tables'!AT$1,'DATA INPUT'!$A$3:$A$3000,"&gt;="&amp;DATE(2019,9,1),'DATA INPUT'!$A$3:$A$3000,"&lt;"&amp;DATE(2019,9,31)))/COUNTIFS('DATA INPUT'!$B$3:$B$3000,'Report Tables'!AT$1,'DATA INPUT'!$A$3:$A$3000,"&gt;="&amp;DATE(2019,9,1),'DATA INPUT'!$A$3:$A$3000,"&lt;"&amp;DATE(2019,9,31)),#N/A),IFERROR((SUMIFS('DATA INPUT'!$E$3:$E$3000,'DATA INPUT'!$B$3:$B$3000,'Report Tables'!AT$1,'DATA INPUT'!$A$3:$A$3000,"&gt;="&amp;DATE(2019,9,1),'DATA INPUT'!$A$3:$A$3000,"&lt;"&amp;DATE(2019,9,31),'DATA INPUT'!$F$3:$F$3000,"&lt;&gt;*Exclude*"))/(COUNTIFS('DATA INPUT'!$B$3:$B$3000,'Report Tables'!AT$1,'DATA INPUT'!$A$3:$A$3000,"&gt;="&amp;DATE(2019,9,1),'DATA INPUT'!$A$3:$A$3000,"&lt;"&amp;DATE(2019,9,31),'DATA INPUT'!$F$3:$F$3000,"&lt;&gt;*Exclude*")),#N/A))</f>
        <v>#N/A</v>
      </c>
      <c r="AU35" s="117" t="e">
        <f t="shared" si="1"/>
        <v>#N/A</v>
      </c>
      <c r="AV35" s="117" t="e">
        <f>IF($L$2="Yes",IFERROR((SUMIFS('DATA INPUT'!$D$3:$D$3000,'DATA INPUT'!$A$3:$A$3000,"&gt;="&amp;DATE(2019,9,1),'DATA INPUT'!$A$3:$A$3000,"&lt;"&amp;DATE(2019,9,31),'DATA INPUT'!$G$3:$G$3000,"&lt;&gt;*School service*"))/COUNTIFS('DATA INPUT'!$A$3:$A$3000,"&gt;="&amp;DATE(2019,9,1),'DATA INPUT'!$A$3:$A$3000,"&lt;"&amp;DATE(2019,9,31),'DATA INPUT'!$G$3:$G$3000,"&lt;&gt;*School service*",'DATA INPUT'!$D$3:$D$3000,"&lt;&gt;"&amp;""),#N/A),IFERROR((SUMIFS('DATA INPUT'!$D$3:$D$3000,'DATA INPUT'!$A$3:$A$3000,"&gt;="&amp;DATE(2019,9,1),'DATA INPUT'!$A$3:$A$3000,"&lt;"&amp;DATE(2019,9,31),'DATA INPUT'!$F$3:$F$3000,"&lt;&gt;*Exclude*",'DATA INPUT'!$G$3:$G$3000,"&lt;&gt;*School service*"))/(COUNTIFS('DATA INPUT'!$A$3:$A$3000,"&gt;="&amp;DATE(2019,9,1),'DATA INPUT'!$A$3:$A$3000,"&lt;"&amp;DATE(2019,9,31),'DATA INPUT'!$F$3:$F$3000,"&lt;&gt;*Exclude*",'DATA INPUT'!$G$3:$G$3000,"&lt;&gt;*School service*",'DATA INPUT'!$D$3:$D$3000,"&lt;&gt;"&amp;"")),#N/A))</f>
        <v>#N/A</v>
      </c>
      <c r="AW35" s="117" t="e">
        <f t="shared" si="2"/>
        <v>#N/A</v>
      </c>
      <c r="AX35" s="117" t="e">
        <f>IF($L$2="Yes",IFERROR((SUMIFS('DATA INPUT'!$E$3:$E$3000,'DATA INPUT'!$B$3:$B$3000,'Report Tables'!AX$1,'DATA INPUT'!$A$3:$A$3000,"&gt;="&amp;DATE(2019,9,1),'DATA INPUT'!$A$3:$A$3000,"&lt;"&amp;DATE(2019,9,31)))/COUNTIFS('DATA INPUT'!$B$3:$B$3000,'Report Tables'!AX$1,'DATA INPUT'!$A$3:$A$3000,"&gt;="&amp;DATE(2019,9,1),'DATA INPUT'!$A$3:$A$3000,"&lt;"&amp;DATE(2019,9,31)),#N/A),IFERROR((SUMIFS('DATA INPUT'!$E$3:$E$3000,'DATA INPUT'!$B$3:$B$3000,'Report Tables'!AX$1,'DATA INPUT'!$A$3:$A$3000,"&gt;="&amp;DATE(2019,9,1),'DATA INPUT'!$A$3:$A$3000,"&lt;"&amp;DATE(2019,9,31),'DATA INPUT'!$F$3:$F$3000,"&lt;&gt;*Exclude*"))/(COUNTIFS('DATA INPUT'!$B$3:$B$3000,'Report Tables'!AX$1,'DATA INPUT'!$A$3:$A$3000,"&gt;="&amp;DATE(2019,9,1),'DATA INPUT'!$A$3:$A$3000,"&lt;"&amp;DATE(2019,9,31),'DATA INPUT'!$F$3:$F$3000,"&lt;&gt;*Exclude*")),#N/A))</f>
        <v>#N/A</v>
      </c>
      <c r="AY35" s="117" t="e">
        <f>IF($L$2="Yes",IFERROR((SUMIFS('DATA INPUT'!$D$3:$D$3000,'DATA INPUT'!$B$3:$B$3000,'Report Tables'!AX$1,'DATA INPUT'!$A$3:$A$3000,"&gt;="&amp;DATE(2019,9,1),'DATA INPUT'!$A$3:$A$3000,"&lt;"&amp;DATE(2019,9,31)))/COUNTIFS('DATA INPUT'!$B$3:$B$3000,'Report Tables'!AX$1,'DATA INPUT'!$A$3:$A$3000,"&gt;="&amp;DATE(2019,9,1),'DATA INPUT'!$A$3:$A$3000,"&lt;"&amp;DATE(2019,9,31)),#N/A),IFERROR((SUMIFS('DATA INPUT'!$D$3:$D$3000,'DATA INPUT'!$B$3:$B$3000,'Report Tables'!AX$1,'DATA INPUT'!$A$3:$A$3000,"&gt;="&amp;DATE(2019,9,1),'DATA INPUT'!$A$3:$A$3000,"&lt;"&amp;DATE(2019,9,31),'DATA INPUT'!$F$3:$F$3000,"&lt;&gt;*Exclude*"))/(COUNTIFS('DATA INPUT'!$B$3:$B$3000,'Report Tables'!AX$1,'DATA INPUT'!$A$3:$A$3000,"&gt;="&amp;DATE(2019,9,1),'DATA INPUT'!$A$3:$A$3000,"&lt;"&amp;DATE(2019,9,31),'DATA INPUT'!$F$3:$F$3000,"&lt;&gt;*Exclude*")),#N/A))</f>
        <v>#N/A</v>
      </c>
      <c r="AZ35" s="117" t="e">
        <f>IF($L$2="Yes",IFERROR((SUMIFS('DATA INPUT'!$C$3:$C$3000,'DATA INPUT'!$B$3:$B$3000,'Report Tables'!AX$1,'DATA INPUT'!$A$3:$A$3000,"&gt;="&amp;DATE(2019,9,1),'DATA INPUT'!$A$3:$A$3000,"&lt;"&amp;DATE(2019,9,31)))/COUNTIFS('DATA INPUT'!$B$3:$B$3000,'Report Tables'!AX$1,'DATA INPUT'!$A$3:$A$3000,"&gt;="&amp;DATE(2019,9,1),'DATA INPUT'!$A$3:$A$3000,"&lt;"&amp;DATE(2019,9,31)),#N/A),IFERROR((SUMIFS('DATA INPUT'!$C$3:$C$3000,'DATA INPUT'!$B$3:$B$3000,'Report Tables'!AX$1,'DATA INPUT'!$A$3:$A$3000,"&gt;="&amp;DATE(2019,9,1),'DATA INPUT'!$A$3:$A$3000,"&lt;"&amp;DATE(2019,9,31),'DATA INPUT'!$F$3:$F$3000,"&lt;&gt;*Exclude*"))/(COUNTIFS('DATA INPUT'!$B$3:$B$3000,'Report Tables'!AX$1,'DATA INPUT'!$A$3:$A$3000,"&gt;="&amp;DATE(2019,9,1),'DATA INPUT'!$A$3:$A$3000,"&lt;"&amp;DATE(2019,9,31),'DATA INPUT'!$F$3:$F$3000,"&lt;&gt;*Exclude*")),#N/A))</f>
        <v>#N/A</v>
      </c>
    </row>
    <row r="36" spans="1:52" ht="15" thickBot="1" x14ac:dyDescent="0.35">
      <c r="A36" s="95" t="e">
        <f>VLOOKUP(B36,Information!$C$8:$F$15,4,FALSE)</f>
        <v>#N/A</v>
      </c>
      <c r="B36" s="46">
        <f>$B$12</f>
        <v>0</v>
      </c>
      <c r="C36" s="57" t="e">
        <f>IF($L$2="Yes",IFERROR((SUMIFS('DATA INPUT'!$E$3:$E$3000,'DATA INPUT'!$A$3:$A$3000,"&gt;="&amp;DATE(2017,1,1),'DATA INPUT'!$A$3:$A$3000,"&lt;="&amp;DATE(2017,12,31),'DATA INPUT'!$B$3:$B$3000,$B36))/(COUNTIFS('DATA INPUT'!$A$3:$A$3000,"&gt;="&amp;DATE(2017,1,1),'DATA INPUT'!$A$3:$A$3000,"&lt;="&amp;DATE(2017,12,31),'DATA INPUT'!$B$3:$B$3000,$B36)),#N/A),IFERROR((SUMIFS('DATA INPUT'!$E$3:$E$3000,'DATA INPUT'!$A$3:$A$3000,"&gt;="&amp;DATE(2017,1,1),'DATA INPUT'!$A$3:$A$3000,"&lt;="&amp;DATE(2017,12,31),'DATA INPUT'!$B$3:$B$3000,$B36,'DATA INPUT'!$F$3:$F$3000,"&lt;&gt;*Exclude*"))/(COUNTIFS('DATA INPUT'!$A$3:$A$3000,"&gt;="&amp;DATE(2017,1,1),'DATA INPUT'!$A$3:$A$3000,"&lt;="&amp;DATE(2017,12,31),'DATA INPUT'!$B$3:$B$3000,$B36,'DATA INPUT'!$F$3:$F$3000,"&lt;&gt;*Exclude*")),#N/A))</f>
        <v>#N/A</v>
      </c>
      <c r="D36" s="57" t="e">
        <f>IF($L$2="Yes",IFERROR((SUMIFS('DATA INPUT'!$E$3:$E$3000,'DATA INPUT'!$A$3:$A$3000,"&gt;="&amp;DATE(2018,1,1),'DATA INPUT'!$A$3:$A$3000,"&lt;="&amp;DATE(2018,12,31),'DATA INPUT'!$B$3:$B$3000,$B36))/(COUNTIFS('DATA INPUT'!$A$3:$A$3000,"&gt;="&amp;DATE(2018,1,1),'DATA INPUT'!$A$3:$A$3000,"&lt;="&amp;DATE(2018,12,31),'DATA INPUT'!$B$3:$B$3000,$B36)),#N/A),IFERROR((SUMIFS('DATA INPUT'!$E$3:$E$3000,'DATA INPUT'!$A$3:$A$3000,"&gt;="&amp;DATE(2018,1,1),'DATA INPUT'!$A$3:$A$3000,"&lt;="&amp;DATE(2018,12,31),'DATA INPUT'!$B$3:$B$3000,$B36,'DATA INPUT'!$F$3:$F$3000,"&lt;&gt;*Exclude*"))/(COUNTIFS('DATA INPUT'!$A$3:$A$3000,"&gt;="&amp;DATE(2018,1,1),'DATA INPUT'!$A$3:$A$3000,"&lt;="&amp;DATE(2018,12,31),'DATA INPUT'!$B$3:$B$3000,$B36,'DATA INPUT'!$F$3:$F$3000,"&lt;&gt;*Exclude*")),#N/A))</f>
        <v>#N/A</v>
      </c>
      <c r="E36" s="57" t="e">
        <f>IF($L$2="Yes",IFERROR((SUMIFS('DATA INPUT'!$E$3:$E$3000,'DATA INPUT'!$A$3:$A$3000,"&gt;="&amp;DATE(2019,1,1),'DATA INPUT'!$A$3:$A$3000,"&lt;="&amp;DATE(2019,12,31),'DATA INPUT'!$B$3:$B$3000,$B36))/(COUNTIFS('DATA INPUT'!$A$3:$A$3000,"&gt;="&amp;DATE(2019,1,1),'DATA INPUT'!$A$3:$A$3000,"&lt;="&amp;DATE(2019,12,31),'DATA INPUT'!$B$3:$B$3000,$B36)),#N/A),IFERROR((SUMIFS('DATA INPUT'!$E$3:$E$3000,'DATA INPUT'!$A$3:$A$3000,"&gt;="&amp;DATE(2019,1,1),'DATA INPUT'!$A$3:$A$3000,"&lt;="&amp;DATE(2019,12,31),'DATA INPUT'!$B$3:$B$3000,$B36,'DATA INPUT'!$F$3:$F$3000,"&lt;&gt;*Exclude*"))/(COUNTIFS('DATA INPUT'!$A$3:$A$3000,"&gt;="&amp;DATE(2019,1,1),'DATA INPUT'!$A$3:$A$3000,"&lt;="&amp;DATE(2019,12,31),'DATA INPUT'!$B$3:$B$3000,$B36,'DATA INPUT'!$F$3:$F$3000,"&lt;&gt;*Exclude*")),#N/A))</f>
        <v>#N/A</v>
      </c>
      <c r="F36" s="57" t="e">
        <f>IF($L$2="Yes",IFERROR((SUMIFS('DATA INPUT'!$E$3:$E$3000,'DATA INPUT'!$A$3:$A$3000,"&gt;="&amp;DATE(2020,1,1),'DATA INPUT'!$A$3:$A$3000,"&lt;="&amp;DATE(2020,12,31),'DATA INPUT'!$B$3:$B$3000,$B36))/(COUNTIFS('DATA INPUT'!$A$3:$A$3000,"&gt;="&amp;DATE(2020,1,1),'DATA INPUT'!$A$3:$A$3000,"&lt;="&amp;DATE(2020,12,31),'DATA INPUT'!$B$3:$B$3000,$B36)),#N/A),IFERROR((SUMIFS('DATA INPUT'!$E$3:$E$3000,'DATA INPUT'!$A$3:$A$3000,"&gt;="&amp;DATE(2020,1,1),'DATA INPUT'!$A$3:$A$3000,"&lt;="&amp;DATE(2020,12,31),'DATA INPUT'!$B$3:$B$3000,$B36,'DATA INPUT'!$F$3:$F$3000,"&lt;&gt;*Exclude*"))/(COUNTIFS('DATA INPUT'!$A$3:$A$3000,"&gt;="&amp;DATE(2020,1,1),'DATA INPUT'!$A$3:$A$3000,"&lt;="&amp;DATE(2020,12,31),'DATA INPUT'!$B$3:$B$3000,$B36,'DATA INPUT'!$F$3:$F$3000,"&lt;&gt;*Exclude*")),#N/A))</f>
        <v>#N/A</v>
      </c>
      <c r="G36" s="57" t="e">
        <f>IF($L$2="Yes",IFERROR((SUMIFS('DATA INPUT'!$E$3:$E$3000,'DATA INPUT'!$A$3:$A$3000,"&gt;="&amp;DATE(2021,1,1),'DATA INPUT'!$A$3:$A$3000,"&lt;="&amp;DATE(2021,12,31),'DATA INPUT'!$B$3:$B$3000,$B36))/(COUNTIFS('DATA INPUT'!$A$3:$A$3000,"&gt;="&amp;DATE(2021,1,1),'DATA INPUT'!$A$3:$A$3000,"&lt;="&amp;DATE(2021,12,31),'DATA INPUT'!$B$3:$B$3000,$B36)),#N/A),IFERROR((SUMIFS('DATA INPUT'!$E$3:$E$3000,'DATA INPUT'!$A$3:$A$3000,"&gt;="&amp;DATE(2021,1,1),'DATA INPUT'!$A$3:$A$3000,"&lt;="&amp;DATE(2021,12,31),'DATA INPUT'!$B$3:$B$3000,$B36,'DATA INPUT'!$F$3:$F$3000,"&lt;&gt;*Exclude*"))/(COUNTIFS('DATA INPUT'!$A$3:$A$3000,"&gt;="&amp;DATE(2021,1,1),'DATA INPUT'!$A$3:$A$3000,"&lt;="&amp;DATE(2021,12,31),'DATA INPUT'!$B$3:$B$3000,$B36,'DATA INPUT'!$F$3:$F$3000,"&lt;&gt;*Exclude*")),#N/A))</f>
        <v>#N/A</v>
      </c>
      <c r="H36" s="57" t="e">
        <f>IF($L$2="Yes",IFERROR((SUMIFS('DATA INPUT'!$E$3:$E$3000,'DATA INPUT'!$A$3:$A$3000,"&gt;="&amp;DATE(2022,1,1),'DATA INPUT'!$A$3:$A$3000,"&lt;="&amp;DATE(2022,12,31),'DATA INPUT'!$B$3:$B$3000,$B36))/(COUNTIFS('DATA INPUT'!$A$3:$A$3000,"&gt;="&amp;DATE(2022,1,1),'DATA INPUT'!$A$3:$A$3000,"&lt;="&amp;DATE(2022,12,31),'DATA INPUT'!$B$3:$B$3000,$B36)),#N/A),IFERROR((SUMIFS('DATA INPUT'!$E$3:$E$3000,'DATA INPUT'!$A$3:$A$3000,"&gt;="&amp;DATE(2022,1,1),'DATA INPUT'!$A$3:$A$3000,"&lt;="&amp;DATE(2022,12,31),'DATA INPUT'!$B$3:$B$3000,$B36,'DATA INPUT'!$F$3:$F$3000,"&lt;&gt;*Exclude*"))/(COUNTIFS('DATA INPUT'!$A$3:$A$3000,"&gt;="&amp;DATE(2022,1,1),'DATA INPUT'!$A$3:$A$3000,"&lt;="&amp;DATE(2022,12,31),'DATA INPUT'!$B$3:$B$3000,$B36,'DATA INPUT'!$F$3:$F$3000,"&lt;&gt;*Exclude*")),#N/A))</f>
        <v>#N/A</v>
      </c>
      <c r="I36" s="57" t="e">
        <f>IF($L$2="Yes",IFERROR((SUMIFS('DATA INPUT'!$E$3:$E$3000,'DATA INPUT'!$A$3:$A$3000,"&gt;="&amp;DATE(2023,1,1),'DATA INPUT'!$A$3:$A$3000,"&lt;="&amp;DATE(2023,12,31),'DATA INPUT'!$B$3:$B$3000,$B36))/(COUNTIFS('DATA INPUT'!$A$3:$A$3000,"&gt;="&amp;DATE(2023,1,1),'DATA INPUT'!$A$3:$A$3000,"&lt;="&amp;DATE(2023,12,31),'DATA INPUT'!$B$3:$B$3000,$B36)),#N/A),IFERROR((SUMIFS('DATA INPUT'!$E$3:$E$3000,'DATA INPUT'!$A$3:$A$3000,"&gt;="&amp;DATE(2023,1,1),'DATA INPUT'!$A$3:$A$3000,"&lt;="&amp;DATE(2023,12,31),'DATA INPUT'!$B$3:$B$3000,$B36,'DATA INPUT'!$F$3:$F$3000,"&lt;&gt;*Exclude*"))/(COUNTIFS('DATA INPUT'!$A$3:$A$3000,"&gt;="&amp;DATE(2023,1,1),'DATA INPUT'!$A$3:$A$3000,"&lt;="&amp;DATE(2023,12,31),'DATA INPUT'!$B$3:$B$3000,$B36,'DATA INPUT'!$F$3:$F$3000,"&lt;&gt;*Exclude*")),#N/A))</f>
        <v>#N/A</v>
      </c>
      <c r="J36" s="57" t="e">
        <f>IF($L$2="Yes",IFERROR((SUMIFS('DATA INPUT'!$E$3:$E$3000,'DATA INPUT'!$A$3:$A$3000,"&gt;="&amp;DATE(2024,1,1),'DATA INPUT'!$A$3:$A$3000,"&lt;="&amp;DATE(2024,12,31),'DATA INPUT'!$B$3:$B$3000,$B36))/(COUNTIFS('DATA INPUT'!$A$3:$A$3000,"&gt;="&amp;DATE(2024,1,1),'DATA INPUT'!$A$3:$A$3000,"&lt;="&amp;DATE(2024,12,31),'DATA INPUT'!$B$3:$B$3000,$B36)),#N/A),IFERROR((SUMIFS('DATA INPUT'!$E$3:$E$3000,'DATA INPUT'!$A$3:$A$3000,"&gt;="&amp;DATE(2024,1,1),'DATA INPUT'!$A$3:$A$3000,"&lt;="&amp;DATE(2024,12,31),'DATA INPUT'!$B$3:$B$3000,$B36,'DATA INPUT'!$F$3:$F$3000,"&lt;&gt;*Exclude*"))/(COUNTIFS('DATA INPUT'!$A$3:$A$3000,"&gt;="&amp;DATE(2024,1,1),'DATA INPUT'!$A$3:$A$3000,"&lt;="&amp;DATE(2024,12,31),'DATA INPUT'!$B$3:$B$3000,$B36,'DATA INPUT'!$F$3:$F$3000,"&lt;&gt;*Exclude*")),#N/A))</f>
        <v>#N/A</v>
      </c>
      <c r="K36" s="57" t="e">
        <f>IF($L$2="Yes",IFERROR((SUMIFS('DATA INPUT'!$E$3:$E$3000,'DATA INPUT'!$A$3:$A$3000,"&gt;="&amp;DATE(2025,1,1),'DATA INPUT'!$A$3:$A$3000,"&lt;="&amp;DATE(2025,12,31),'DATA INPUT'!$B$3:$B$3000,$B36))/(COUNTIFS('DATA INPUT'!$A$3:$A$3000,"&gt;="&amp;DATE(2025,1,1),'DATA INPUT'!$A$3:$A$3000,"&lt;="&amp;DATE(2025,12,31),'DATA INPUT'!$B$3:$B$3000,$B36)),#N/A),IFERROR((SUMIFS('DATA INPUT'!$E$3:$E$3000,'DATA INPUT'!$A$3:$A$3000,"&gt;="&amp;DATE(2025,1,1),'DATA INPUT'!$A$3:$A$3000,"&lt;="&amp;DATE(2025,12,31),'DATA INPUT'!$B$3:$B$3000,$B36,'DATA INPUT'!$F$3:$F$3000,"&lt;&gt;*Exclude*"))/(COUNTIFS('DATA INPUT'!$A$3:$A$3000,"&gt;="&amp;DATE(2025,1,1),'DATA INPUT'!$A$3:$A$3000,"&lt;="&amp;DATE(2025,12,31),'DATA INPUT'!$B$3:$B$3000,$B36,'DATA INPUT'!$F$3:$F$3000,"&lt;&gt;*Exclude*")),#N/A))</f>
        <v>#N/A</v>
      </c>
      <c r="L36" s="69" t="str">
        <f t="shared" si="13"/>
        <v/>
      </c>
      <c r="Y36" s="149"/>
      <c r="Z36" s="149" t="s">
        <v>21</v>
      </c>
      <c r="AA36" s="136" t="e">
        <f>IF($L$2="Yes",IF(SUMIFS('DATA INPUT'!$E$3:$E$3000,'DATA INPUT'!$B$3:$B$3000,'Report Tables'!AA$1,'DATA INPUT'!$A$3:$A$3000,"&gt;="&amp;DATE(2019,10,1),'DATA INPUT'!$A$3:$A$3000,"&lt;"&amp;DATE(2019,10,31))=0,#N/A,(SUMIFS('DATA INPUT'!$E$3:$E$3000,'DATA INPUT'!$B$3:$B$3000,'Report Tables'!AA$1,'DATA INPUT'!$A$3:$A$3000,"&gt;="&amp;DATE(2019,10,1),'DATA INPUT'!$A$3:$A$3000,"&lt;"&amp;DATE(2019,10,31)))),IF(SUMIFS('DATA INPUT'!$E$3:$E$3000,'DATA INPUT'!$B$3:$B$3000,'Report Tables'!AA$1,'DATA INPUT'!$A$3:$A$3000,"&gt;="&amp;DATE(2019,10,1),'DATA INPUT'!$A$3:$A$3000,"&lt;"&amp;DATE(2019,10,31),'DATA INPUT'!$F$3:$F$3000,"&lt;&gt;*Exclude*")=0,#N/A,(SUMIFS('DATA INPUT'!$E$3:$E$3000,'DATA INPUT'!$B$3:$B$3000,'Report Tables'!AA$1,'DATA INPUT'!$A$3:$A$3000,"&gt;="&amp;DATE(2019,10,1),'DATA INPUT'!$A$3:$A$3000,"&lt;"&amp;DATE(2019,10,31),'DATA INPUT'!$F$3:$F$3000,"&lt;&gt;*Exclude*"))))</f>
        <v>#N/A</v>
      </c>
      <c r="AB36" s="136" t="e">
        <f>IF($L$2="Yes",IF(SUMIFS('DATA INPUT'!$E$3:$E$3000,'DATA INPUT'!$B$3:$B$3000,'Report Tables'!AB$1,'DATA INPUT'!$A$3:$A$3000,"&gt;="&amp;DATE(2019,10,1),'DATA INPUT'!$A$3:$A$3000,"&lt;"&amp;DATE(2019,10,31))=0,#N/A,(SUMIFS('DATA INPUT'!$E$3:$E$3000,'DATA INPUT'!$B$3:$B$3000,'Report Tables'!AB$1,'DATA INPUT'!$A$3:$A$3000,"&gt;="&amp;DATE(2019,10,1),'DATA INPUT'!$A$3:$A$3000,"&lt;"&amp;DATE(2019,10,31)))),IF(SUMIFS('DATA INPUT'!$E$3:$E$3000,'DATA INPUT'!$B$3:$B$3000,'Report Tables'!AB$1,'DATA INPUT'!$A$3:$A$3000,"&gt;="&amp;DATE(2019,10,1),'DATA INPUT'!$A$3:$A$3000,"&lt;"&amp;DATE(2019,10,31),'DATA INPUT'!$F$3:$F$3000,"&lt;&gt;*Exclude*")=0,#N/A,(SUMIFS('DATA INPUT'!$E$3:$E$3000,'DATA INPUT'!$B$3:$B$3000,'Report Tables'!AB$1,'DATA INPUT'!$A$3:$A$3000,"&gt;="&amp;DATE(2019,10,1),'DATA INPUT'!$A$3:$A$3000,"&lt;"&amp;DATE(2019,10,31),'DATA INPUT'!$F$3:$F$3000,"&lt;&gt;*Exclude*"))))</f>
        <v>#N/A</v>
      </c>
      <c r="AC36" s="136" t="e">
        <f>IF($L$2="Yes",IF(SUMIFS('DATA INPUT'!$E$3:$E$3000,'DATA INPUT'!$B$3:$B$3000,'Report Tables'!AC$1,'DATA INPUT'!$A$3:$A$3000,"&gt;="&amp;DATE(2019,10,1),'DATA INPUT'!$A$3:$A$3000,"&lt;"&amp;DATE(2019,10,31))=0,#N/A,(SUMIFS('DATA INPUT'!$E$3:$E$3000,'DATA INPUT'!$B$3:$B$3000,'Report Tables'!AC$1,'DATA INPUT'!$A$3:$A$3000,"&gt;="&amp;DATE(2019,10,1),'DATA INPUT'!$A$3:$A$3000,"&lt;"&amp;DATE(2019,10,31)))),IF(SUMIFS('DATA INPUT'!$E$3:$E$3000,'DATA INPUT'!$B$3:$B$3000,'Report Tables'!AC$1,'DATA INPUT'!$A$3:$A$3000,"&gt;="&amp;DATE(2019,10,1),'DATA INPUT'!$A$3:$A$3000,"&lt;"&amp;DATE(2019,10,31),'DATA INPUT'!$F$3:$F$3000,"&lt;&gt;*Exclude*")=0,#N/A,(SUMIFS('DATA INPUT'!$E$3:$E$3000,'DATA INPUT'!$B$3:$B$3000,'Report Tables'!AC$1,'DATA INPUT'!$A$3:$A$3000,"&gt;="&amp;DATE(2019,10,1),'DATA INPUT'!$A$3:$A$3000,"&lt;"&amp;DATE(2019,10,31),'DATA INPUT'!$F$3:$F$3000,"&lt;&gt;*Exclude*"))))</f>
        <v>#N/A</v>
      </c>
      <c r="AD36" s="136" t="e">
        <f>IF($L$2="Yes",IF(SUMIFS('DATA INPUT'!$E$3:$E$3000,'DATA INPUT'!$B$3:$B$3000,'Report Tables'!AD$1,'DATA INPUT'!$A$3:$A$3000,"&gt;="&amp;DATE(2019,10,1),'DATA INPUT'!$A$3:$A$3000,"&lt;"&amp;DATE(2019,10,31))=0,#N/A,(SUMIFS('DATA INPUT'!$E$3:$E$3000,'DATA INPUT'!$B$3:$B$3000,'Report Tables'!AD$1,'DATA INPUT'!$A$3:$A$3000,"&gt;="&amp;DATE(2019,10,1),'DATA INPUT'!$A$3:$A$3000,"&lt;"&amp;DATE(2019,10,31)))),IF(SUMIFS('DATA INPUT'!$E$3:$E$3000,'DATA INPUT'!$B$3:$B$3000,'Report Tables'!AD$1,'DATA INPUT'!$A$3:$A$3000,"&gt;="&amp;DATE(2019,10,1),'DATA INPUT'!$A$3:$A$3000,"&lt;"&amp;DATE(2019,10,31),'DATA INPUT'!$F$3:$F$3000,"&lt;&gt;*Exclude*")=0,#N/A,(SUMIFS('DATA INPUT'!$E$3:$E$3000,'DATA INPUT'!$B$3:$B$3000,'Report Tables'!AD$1,'DATA INPUT'!$A$3:$A$3000,"&gt;="&amp;DATE(2019,10,1),'DATA INPUT'!$A$3:$A$3000,"&lt;"&amp;DATE(2019,10,31),'DATA INPUT'!$F$3:$F$3000,"&lt;&gt;*Exclude*"))))</f>
        <v>#N/A</v>
      </c>
      <c r="AE36" s="136" t="e">
        <f>IF($L$2="Yes",IF(SUMIFS('DATA INPUT'!$E$3:$E$3000,'DATA INPUT'!$B$3:$B$3000,'Report Tables'!AE$1,'DATA INPUT'!$A$3:$A$3000,"&gt;="&amp;DATE(2019,10,1),'DATA INPUT'!$A$3:$A$3000,"&lt;"&amp;DATE(2019,10,31))=0,#N/A,(SUMIFS('DATA INPUT'!$E$3:$E$3000,'DATA INPUT'!$B$3:$B$3000,'Report Tables'!AE$1,'DATA INPUT'!$A$3:$A$3000,"&gt;="&amp;DATE(2019,10,1),'DATA INPUT'!$A$3:$A$3000,"&lt;"&amp;DATE(2019,10,31)))),IF(SUMIFS('DATA INPUT'!$E$3:$E$3000,'DATA INPUT'!$B$3:$B$3000,'Report Tables'!AE$1,'DATA INPUT'!$A$3:$A$3000,"&gt;="&amp;DATE(2019,10,1),'DATA INPUT'!$A$3:$A$3000,"&lt;"&amp;DATE(2019,10,31),'DATA INPUT'!$F$3:$F$3000,"&lt;&gt;*Exclude*")=0,#N/A,(SUMIFS('DATA INPUT'!$E$3:$E$3000,'DATA INPUT'!$B$3:$B$3000,'Report Tables'!AE$1,'DATA INPUT'!$A$3:$A$3000,"&gt;="&amp;DATE(2019,10,1),'DATA INPUT'!$A$3:$A$3000,"&lt;"&amp;DATE(2019,10,31),'DATA INPUT'!$F$3:$F$3000,"&lt;&gt;*Exclude*"))))</f>
        <v>#N/A</v>
      </c>
      <c r="AF36" s="136" t="e">
        <f>IF($L$2="Yes",IF(SUMIFS('DATA INPUT'!$E$3:$E$3000,'DATA INPUT'!$B$3:$B$3000,'Report Tables'!AF$1,'DATA INPUT'!$A$3:$A$3000,"&gt;="&amp;DATE(2019,10,1),'DATA INPUT'!$A$3:$A$3000,"&lt;"&amp;DATE(2019,10,31))=0,#N/A,(SUMIFS('DATA INPUT'!$E$3:$E$3000,'DATA INPUT'!$B$3:$B$3000,'Report Tables'!AF$1,'DATA INPUT'!$A$3:$A$3000,"&gt;="&amp;DATE(2019,10,1),'DATA INPUT'!$A$3:$A$3000,"&lt;"&amp;DATE(2019,10,31)))),IF(SUMIFS('DATA INPUT'!$E$3:$E$3000,'DATA INPUT'!$B$3:$B$3000,'Report Tables'!AF$1,'DATA INPUT'!$A$3:$A$3000,"&gt;="&amp;DATE(2019,10,1),'DATA INPUT'!$A$3:$A$3000,"&lt;"&amp;DATE(2019,10,31),'DATA INPUT'!$F$3:$F$3000,"&lt;&gt;*Exclude*")=0,#N/A,(SUMIFS('DATA INPUT'!$E$3:$E$3000,'DATA INPUT'!$B$3:$B$3000,'Report Tables'!AF$1,'DATA INPUT'!$A$3:$A$3000,"&gt;="&amp;DATE(2019,10,1),'DATA INPUT'!$A$3:$A$3000,"&lt;"&amp;DATE(2019,10,31),'DATA INPUT'!$F$3:$F$3000,"&lt;&gt;*Exclude*"))))</f>
        <v>#N/A</v>
      </c>
      <c r="AG36" s="136" t="e">
        <f>IF($L$2="Yes",IF(SUMIFS('DATA INPUT'!$E$3:$E$3000,'DATA INPUT'!$B$3:$B$3000,'Report Tables'!AG$1,'DATA INPUT'!$A$3:$A$3000,"&gt;="&amp;DATE(2019,10,1),'DATA INPUT'!$A$3:$A$3000,"&lt;"&amp;DATE(2019,10,31))=0,#N/A,(SUMIFS('DATA INPUT'!$E$3:$E$3000,'DATA INPUT'!$B$3:$B$3000,'Report Tables'!AG$1,'DATA INPUT'!$A$3:$A$3000,"&gt;="&amp;DATE(2019,10,1),'DATA INPUT'!$A$3:$A$3000,"&lt;"&amp;DATE(2019,10,31)))),IF(SUMIFS('DATA INPUT'!$E$3:$E$3000,'DATA INPUT'!$B$3:$B$3000,'Report Tables'!AG$1,'DATA INPUT'!$A$3:$A$3000,"&gt;="&amp;DATE(2019,10,1),'DATA INPUT'!$A$3:$A$3000,"&lt;"&amp;DATE(2019,10,31),'DATA INPUT'!$F$3:$F$3000,"&lt;&gt;*Exclude*")=0,#N/A,(SUMIFS('DATA INPUT'!$E$3:$E$3000,'DATA INPUT'!$B$3:$B$3000,'Report Tables'!AG$1,'DATA INPUT'!$A$3:$A$3000,"&gt;="&amp;DATE(2019,10,1),'DATA INPUT'!$A$3:$A$3000,"&lt;"&amp;DATE(2019,10,31),'DATA INPUT'!$F$3:$F$3000,"&lt;&gt;*Exclude*"))))</f>
        <v>#N/A</v>
      </c>
      <c r="AH36" s="136" t="e">
        <f>IF($L$2="Yes",IF(SUMIFS('DATA INPUT'!$E$3:$E$3000,'DATA INPUT'!$B$3:$B$3000,'Report Tables'!AH$1,'DATA INPUT'!$A$3:$A$3000,"&gt;="&amp;DATE(2019,10,1),'DATA INPUT'!$A$3:$A$3000,"&lt;"&amp;DATE(2019,10,31))=0,#N/A,(SUMIFS('DATA INPUT'!$E$3:$E$3000,'DATA INPUT'!$B$3:$B$3000,'Report Tables'!AH$1,'DATA INPUT'!$A$3:$A$3000,"&gt;="&amp;DATE(2019,10,1),'DATA INPUT'!$A$3:$A$3000,"&lt;"&amp;DATE(2019,10,31)))),IF(SUMIFS('DATA INPUT'!$E$3:$E$3000,'DATA INPUT'!$B$3:$B$3000,'Report Tables'!AH$1,'DATA INPUT'!$A$3:$A$3000,"&gt;="&amp;DATE(2019,10,1),'DATA INPUT'!$A$3:$A$3000,"&lt;"&amp;DATE(2019,10,31),'DATA INPUT'!$F$3:$F$3000,"&lt;&gt;*Exclude*")=0,#N/A,(SUMIFS('DATA INPUT'!$E$3:$E$3000,'DATA INPUT'!$B$3:$B$3000,'Report Tables'!AH$1,'DATA INPUT'!$A$3:$A$3000,"&gt;="&amp;DATE(2019,10,1),'DATA INPUT'!$A$3:$A$3000,"&lt;"&amp;DATE(2019,10,31),'DATA INPUT'!$F$3:$F$3000,"&lt;&gt;*Exclude*"))))</f>
        <v>#N/A</v>
      </c>
      <c r="AI36" s="136" t="e">
        <f t="shared" si="0"/>
        <v>#N/A</v>
      </c>
      <c r="AJ36" s="136" t="e">
        <f>IF($L$2="Yes",IF(SUMIFS('DATA INPUT'!$D$3:$D$3000,'DATA INPUT'!$A$3:$A$3000,"&gt;="&amp;DATE(2019,10,1),'DATA INPUT'!$A$3:$A$3000,"&lt;"&amp;DATE(2019,10,31),'DATA INPUT'!$G$3:$G$3000,"&lt;&gt;*School service*")=0,#N/A,(SUMIFS('DATA INPUT'!$D$3:$D$3000,'DATA INPUT'!$A$3:$A$3000,"&gt;="&amp;DATE(2019,10,1),'DATA INPUT'!$A$3:$A$3000,"&lt;"&amp;DATE(2019,10,31),'DATA INPUT'!$G$3:$G$3000,"&lt;&gt;*School service*"))),IF(SUMIFS('DATA INPUT'!$D$3:$D$3000,'DATA INPUT'!$A$3:$A$3000,"&gt;="&amp;DATE(2019,10,1),'DATA INPUT'!$A$3:$A$3000,"&lt;"&amp;DATE(2019,10,31),'DATA INPUT'!$F$3:$F$3000,"&lt;&gt;*Exclude*",'DATA INPUT'!$G$3:$G$3000,"&lt;&gt;*School service*")=0,#N/A,(SUMIFS('DATA INPUT'!$D$3:$D$3000,'DATA INPUT'!$A$3:$A$3000,"&gt;="&amp;DATE(2019,10,1),'DATA INPUT'!$A$3:$A$3000,"&lt;"&amp;DATE(2019,10,31),'DATA INPUT'!$F$3:$F$3000,"&lt;&gt;*Exclude*",'DATA INPUT'!$G$3:$G$3000,"&lt;&gt;*School service*"))))</f>
        <v>#N/A</v>
      </c>
      <c r="AK36" s="136" t="e">
        <f>AI36-AJ36</f>
        <v>#N/A</v>
      </c>
      <c r="AM36" s="117" t="e">
        <f>IF($L$2="Yes",IFERROR((SUMIFS('DATA INPUT'!$E$3:$E$3000,'DATA INPUT'!$B$3:$B$3000,'Report Tables'!AM$1,'DATA INPUT'!$A$3:$A$3000,"&gt;="&amp;DATE(2019,10,1),'DATA INPUT'!$A$3:$A$3000,"&lt;"&amp;DATE(2019,10,31)))/COUNTIFS('DATA INPUT'!$B$3:$B$3000,'Report Tables'!AM$1,'DATA INPUT'!$A$3:$A$3000,"&gt;="&amp;DATE(2019,10,1),'DATA INPUT'!$A$3:$A$3000,"&lt;"&amp;DATE(2019,10,31)),#N/A),IFERROR((SUMIFS('DATA INPUT'!$E$3:$E$3000,'DATA INPUT'!$B$3:$B$3000,'Report Tables'!AM$1,'DATA INPUT'!$A$3:$A$3000,"&gt;="&amp;DATE(2019,10,1),'DATA INPUT'!$A$3:$A$3000,"&lt;"&amp;DATE(2019,10,31),'DATA INPUT'!$F$3:$F$3000,"&lt;&gt;*Exclude*"))/(COUNTIFS('DATA INPUT'!$B$3:$B$3000,'Report Tables'!AM$1,'DATA INPUT'!$A$3:$A$3000,"&gt;="&amp;DATE(2019,10,1),'DATA INPUT'!$A$3:$A$3000,"&lt;"&amp;DATE(2019,10,31),'DATA INPUT'!$F$3:$F$3000,"&lt;&gt;*Exclude*")),#N/A))</f>
        <v>#N/A</v>
      </c>
      <c r="AN36" s="117" t="e">
        <f>IF($L$2="Yes",IFERROR((SUMIFS('DATA INPUT'!$E$3:$E$3000,'DATA INPUT'!$B$3:$B$3000,'Report Tables'!AN$1,'DATA INPUT'!$A$3:$A$3000,"&gt;="&amp;DATE(2019,10,1),'DATA INPUT'!$A$3:$A$3000,"&lt;"&amp;DATE(2019,10,31)))/COUNTIFS('DATA INPUT'!$B$3:$B$3000,'Report Tables'!AN$1,'DATA INPUT'!$A$3:$A$3000,"&gt;="&amp;DATE(2019,10,1),'DATA INPUT'!$A$3:$A$3000,"&lt;"&amp;DATE(2019,10,31)),#N/A),IFERROR((SUMIFS('DATA INPUT'!$E$3:$E$3000,'DATA INPUT'!$B$3:$B$3000,'Report Tables'!AN$1,'DATA INPUT'!$A$3:$A$3000,"&gt;="&amp;DATE(2019,10,1),'DATA INPUT'!$A$3:$A$3000,"&lt;"&amp;DATE(2019,10,31),'DATA INPUT'!$F$3:$F$3000,"&lt;&gt;*Exclude*"))/(COUNTIFS('DATA INPUT'!$B$3:$B$3000,'Report Tables'!AN$1,'DATA INPUT'!$A$3:$A$3000,"&gt;="&amp;DATE(2019,10,1),'DATA INPUT'!$A$3:$A$3000,"&lt;"&amp;DATE(2019,10,31),'DATA INPUT'!$F$3:$F$3000,"&lt;&gt;*Exclude*")),#N/A))</f>
        <v>#N/A</v>
      </c>
      <c r="AO36" s="117" t="e">
        <f>IF($L$2="Yes",IFERROR((SUMIFS('DATA INPUT'!$E$3:$E$3000,'DATA INPUT'!$B$3:$B$3000,'Report Tables'!AO$1,'DATA INPUT'!$A$3:$A$3000,"&gt;="&amp;DATE(2019,10,1),'DATA INPUT'!$A$3:$A$3000,"&lt;"&amp;DATE(2019,10,31)))/COUNTIFS('DATA INPUT'!$B$3:$B$3000,'Report Tables'!AO$1,'DATA INPUT'!$A$3:$A$3000,"&gt;="&amp;DATE(2019,10,1),'DATA INPUT'!$A$3:$A$3000,"&lt;"&amp;DATE(2019,10,31)),#N/A),IFERROR((SUMIFS('DATA INPUT'!$E$3:$E$3000,'DATA INPUT'!$B$3:$B$3000,'Report Tables'!AO$1,'DATA INPUT'!$A$3:$A$3000,"&gt;="&amp;DATE(2019,10,1),'DATA INPUT'!$A$3:$A$3000,"&lt;"&amp;DATE(2019,10,31),'DATA INPUT'!$F$3:$F$3000,"&lt;&gt;*Exclude*"))/(COUNTIFS('DATA INPUT'!$B$3:$B$3000,'Report Tables'!AO$1,'DATA INPUT'!$A$3:$A$3000,"&gt;="&amp;DATE(2019,10,1),'DATA INPUT'!$A$3:$A$3000,"&lt;"&amp;DATE(2019,10,31),'DATA INPUT'!$F$3:$F$3000,"&lt;&gt;*Exclude*")),#N/A))</f>
        <v>#N/A</v>
      </c>
      <c r="AP36" s="117" t="e">
        <f>IF($L$2="Yes",IFERROR((SUMIFS('DATA INPUT'!$E$3:$E$3000,'DATA INPUT'!$B$3:$B$3000,'Report Tables'!AP$1,'DATA INPUT'!$A$3:$A$3000,"&gt;="&amp;DATE(2019,10,1),'DATA INPUT'!$A$3:$A$3000,"&lt;"&amp;DATE(2019,10,31)))/COUNTIFS('DATA INPUT'!$B$3:$B$3000,'Report Tables'!AP$1,'DATA INPUT'!$A$3:$A$3000,"&gt;="&amp;DATE(2019,10,1),'DATA INPUT'!$A$3:$A$3000,"&lt;"&amp;DATE(2019,10,31)),#N/A),IFERROR((SUMIFS('DATA INPUT'!$E$3:$E$3000,'DATA INPUT'!$B$3:$B$3000,'Report Tables'!AP$1,'DATA INPUT'!$A$3:$A$3000,"&gt;="&amp;DATE(2019,10,1),'DATA INPUT'!$A$3:$A$3000,"&lt;"&amp;DATE(2019,10,31),'DATA INPUT'!$F$3:$F$3000,"&lt;&gt;*Exclude*"))/(COUNTIFS('DATA INPUT'!$B$3:$B$3000,'Report Tables'!AP$1,'DATA INPUT'!$A$3:$A$3000,"&gt;="&amp;DATE(2019,10,1),'DATA INPUT'!$A$3:$A$3000,"&lt;"&amp;DATE(2019,10,31),'DATA INPUT'!$F$3:$F$3000,"&lt;&gt;*Exclude*")),#N/A))</f>
        <v>#N/A</v>
      </c>
      <c r="AQ36" s="117" t="e">
        <f>IF($L$2="Yes",IFERROR((SUMIFS('DATA INPUT'!$E$3:$E$3000,'DATA INPUT'!$B$3:$B$3000,'Report Tables'!AQ$1,'DATA INPUT'!$A$3:$A$3000,"&gt;="&amp;DATE(2019,10,1),'DATA INPUT'!$A$3:$A$3000,"&lt;"&amp;DATE(2019,10,31)))/COUNTIFS('DATA INPUT'!$B$3:$B$3000,'Report Tables'!AQ$1,'DATA INPUT'!$A$3:$A$3000,"&gt;="&amp;DATE(2019,10,1),'DATA INPUT'!$A$3:$A$3000,"&lt;"&amp;DATE(2019,10,31)),#N/A),IFERROR((SUMIFS('DATA INPUT'!$E$3:$E$3000,'DATA INPUT'!$B$3:$B$3000,'Report Tables'!AQ$1,'DATA INPUT'!$A$3:$A$3000,"&gt;="&amp;DATE(2019,10,1),'DATA INPUT'!$A$3:$A$3000,"&lt;"&amp;DATE(2019,10,31),'DATA INPUT'!$F$3:$F$3000,"&lt;&gt;*Exclude*"))/(COUNTIFS('DATA INPUT'!$B$3:$B$3000,'Report Tables'!AQ$1,'DATA INPUT'!$A$3:$A$3000,"&gt;="&amp;DATE(2019,10,1),'DATA INPUT'!$A$3:$A$3000,"&lt;"&amp;DATE(2019,10,31),'DATA INPUT'!$F$3:$F$3000,"&lt;&gt;*Exclude*")),#N/A))</f>
        <v>#N/A</v>
      </c>
      <c r="AR36" s="117" t="e">
        <f>IF($L$2="Yes",IFERROR((SUMIFS('DATA INPUT'!$E$3:$E$3000,'DATA INPUT'!$B$3:$B$3000,'Report Tables'!AR$1,'DATA INPUT'!$A$3:$A$3000,"&gt;="&amp;DATE(2019,10,1),'DATA INPUT'!$A$3:$A$3000,"&lt;"&amp;DATE(2019,10,31)))/COUNTIFS('DATA INPUT'!$B$3:$B$3000,'Report Tables'!AR$1,'DATA INPUT'!$A$3:$A$3000,"&gt;="&amp;DATE(2019,10,1),'DATA INPUT'!$A$3:$A$3000,"&lt;"&amp;DATE(2019,10,31)),#N/A),IFERROR((SUMIFS('DATA INPUT'!$E$3:$E$3000,'DATA INPUT'!$B$3:$B$3000,'Report Tables'!AR$1,'DATA INPUT'!$A$3:$A$3000,"&gt;="&amp;DATE(2019,10,1),'DATA INPUT'!$A$3:$A$3000,"&lt;"&amp;DATE(2019,10,31),'DATA INPUT'!$F$3:$F$3000,"&lt;&gt;*Exclude*"))/(COUNTIFS('DATA INPUT'!$B$3:$B$3000,'Report Tables'!AR$1,'DATA INPUT'!$A$3:$A$3000,"&gt;="&amp;DATE(2019,10,1),'DATA INPUT'!$A$3:$A$3000,"&lt;"&amp;DATE(2019,10,31),'DATA INPUT'!$F$3:$F$3000,"&lt;&gt;*Exclude*")),#N/A))</f>
        <v>#N/A</v>
      </c>
      <c r="AS36" s="117" t="e">
        <f>IF($L$2="Yes",IFERROR((SUMIFS('DATA INPUT'!$E$3:$E$3000,'DATA INPUT'!$B$3:$B$3000,'Report Tables'!AS$1,'DATA INPUT'!$A$3:$A$3000,"&gt;="&amp;DATE(2019,10,1),'DATA INPUT'!$A$3:$A$3000,"&lt;"&amp;DATE(2019,10,31)))/COUNTIFS('DATA INPUT'!$B$3:$B$3000,'Report Tables'!AS$1,'DATA INPUT'!$A$3:$A$3000,"&gt;="&amp;DATE(2019,10,1),'DATA INPUT'!$A$3:$A$3000,"&lt;"&amp;DATE(2019,10,31)),#N/A),IFERROR((SUMIFS('DATA INPUT'!$E$3:$E$3000,'DATA INPUT'!$B$3:$B$3000,'Report Tables'!AS$1,'DATA INPUT'!$A$3:$A$3000,"&gt;="&amp;DATE(2019,10,1),'DATA INPUT'!$A$3:$A$3000,"&lt;"&amp;DATE(2019,10,31),'DATA INPUT'!$F$3:$F$3000,"&lt;&gt;*Exclude*"))/(COUNTIFS('DATA INPUT'!$B$3:$B$3000,'Report Tables'!AS$1,'DATA INPUT'!$A$3:$A$3000,"&gt;="&amp;DATE(2019,10,1),'DATA INPUT'!$A$3:$A$3000,"&lt;"&amp;DATE(2019,10,31),'DATA INPUT'!$F$3:$F$3000,"&lt;&gt;*Exclude*")),#N/A))</f>
        <v>#N/A</v>
      </c>
      <c r="AT36" s="117" t="e">
        <f>IF($L$2="Yes",IFERROR((SUMIFS('DATA INPUT'!$E$3:$E$3000,'DATA INPUT'!$B$3:$B$3000,'Report Tables'!AT$1,'DATA INPUT'!$A$3:$A$3000,"&gt;="&amp;DATE(2019,10,1),'DATA INPUT'!$A$3:$A$3000,"&lt;"&amp;DATE(2019,10,31)))/COUNTIFS('DATA INPUT'!$B$3:$B$3000,'Report Tables'!AT$1,'DATA INPUT'!$A$3:$A$3000,"&gt;="&amp;DATE(2019,10,1),'DATA INPUT'!$A$3:$A$3000,"&lt;"&amp;DATE(2019,10,31)),#N/A),IFERROR((SUMIFS('DATA INPUT'!$E$3:$E$3000,'DATA INPUT'!$B$3:$B$3000,'Report Tables'!AT$1,'DATA INPUT'!$A$3:$A$3000,"&gt;="&amp;DATE(2019,10,1),'DATA INPUT'!$A$3:$A$3000,"&lt;"&amp;DATE(2019,10,31),'DATA INPUT'!$F$3:$F$3000,"&lt;&gt;*Exclude*"))/(COUNTIFS('DATA INPUT'!$B$3:$B$3000,'Report Tables'!AT$1,'DATA INPUT'!$A$3:$A$3000,"&gt;="&amp;DATE(2019,10,1),'DATA INPUT'!$A$3:$A$3000,"&lt;"&amp;DATE(2019,10,31),'DATA INPUT'!$F$3:$F$3000,"&lt;&gt;*Exclude*")),#N/A))</f>
        <v>#N/A</v>
      </c>
      <c r="AU36" s="117" t="e">
        <f t="shared" si="1"/>
        <v>#N/A</v>
      </c>
      <c r="AV36" s="117" t="e">
        <f>IF($L$2="Yes",IFERROR((SUMIFS('DATA INPUT'!$D$3:$D$3000,'DATA INPUT'!$A$3:$A$3000,"&gt;="&amp;DATE(2019,10,1),'DATA INPUT'!$A$3:$A$3000,"&lt;"&amp;DATE(2019,10,31),'DATA INPUT'!$G$3:$G$3000,"&lt;&gt;*School service*"))/COUNTIFS('DATA INPUT'!$A$3:$A$3000,"&gt;="&amp;DATE(2019,10,1),'DATA INPUT'!$A$3:$A$3000,"&lt;"&amp;DATE(2019,10,31),'DATA INPUT'!$G$3:$G$3000,"&lt;&gt;*School service*",'DATA INPUT'!$D$3:$D$3000,"&lt;&gt;"&amp;""),#N/A),IFERROR((SUMIFS('DATA INPUT'!$D$3:$D$3000,'DATA INPUT'!$A$3:$A$3000,"&gt;="&amp;DATE(2019,10,1),'DATA INPUT'!$A$3:$A$3000,"&lt;"&amp;DATE(2019,10,31),'DATA INPUT'!$F$3:$F$3000,"&lt;&gt;*Exclude*",'DATA INPUT'!$G$3:$G$3000,"&lt;&gt;*School service*"))/(COUNTIFS('DATA INPUT'!$A$3:$A$3000,"&gt;="&amp;DATE(2019,10,1),'DATA INPUT'!$A$3:$A$3000,"&lt;"&amp;DATE(2019,10,31),'DATA INPUT'!$F$3:$F$3000,"&lt;&gt;*Exclude*",'DATA INPUT'!$G$3:$G$3000,"&lt;&gt;*School service*",'DATA INPUT'!$D$3:$D$3000,"&lt;&gt;"&amp;"")),#N/A))</f>
        <v>#N/A</v>
      </c>
      <c r="AW36" s="117" t="e">
        <f t="shared" si="2"/>
        <v>#N/A</v>
      </c>
      <c r="AX36" s="117" t="e">
        <f>IF($L$2="Yes",IFERROR((SUMIFS('DATA INPUT'!$E$3:$E$3000,'DATA INPUT'!$B$3:$B$3000,'Report Tables'!AX$1,'DATA INPUT'!$A$3:$A$3000,"&gt;="&amp;DATE(2019,10,1),'DATA INPUT'!$A$3:$A$3000,"&lt;"&amp;DATE(2019,10,31)))/COUNTIFS('DATA INPUT'!$B$3:$B$3000,'Report Tables'!AX$1,'DATA INPUT'!$A$3:$A$3000,"&gt;="&amp;DATE(2019,10,1),'DATA INPUT'!$A$3:$A$3000,"&lt;"&amp;DATE(2019,10,31)),#N/A),IFERROR((SUMIFS('DATA INPUT'!$E$3:$E$3000,'DATA INPUT'!$B$3:$B$3000,'Report Tables'!AX$1,'DATA INPUT'!$A$3:$A$3000,"&gt;="&amp;DATE(2019,10,1),'DATA INPUT'!$A$3:$A$3000,"&lt;"&amp;DATE(2019,10,31),'DATA INPUT'!$F$3:$F$3000,"&lt;&gt;*Exclude*"))/(COUNTIFS('DATA INPUT'!$B$3:$B$3000,'Report Tables'!AX$1,'DATA INPUT'!$A$3:$A$3000,"&gt;="&amp;DATE(2019,10,1),'DATA INPUT'!$A$3:$A$3000,"&lt;"&amp;DATE(2019,10,31),'DATA INPUT'!$F$3:$F$3000,"&lt;&gt;*Exclude*")),#N/A))</f>
        <v>#N/A</v>
      </c>
      <c r="AY36" s="117" t="e">
        <f>IF($L$2="Yes",IFERROR((SUMIFS('DATA INPUT'!$D$3:$D$3000,'DATA INPUT'!$B$3:$B$3000,'Report Tables'!AX$1,'DATA INPUT'!$A$3:$A$3000,"&gt;="&amp;DATE(2019,10,1),'DATA INPUT'!$A$3:$A$3000,"&lt;"&amp;DATE(2019,10,31)))/COUNTIFS('DATA INPUT'!$B$3:$B$3000,'Report Tables'!AX$1,'DATA INPUT'!$A$3:$A$3000,"&gt;="&amp;DATE(2019,10,1),'DATA INPUT'!$A$3:$A$3000,"&lt;"&amp;DATE(2019,10,31)),#N/A),IFERROR((SUMIFS('DATA INPUT'!$D$3:$D$3000,'DATA INPUT'!$B$3:$B$3000,'Report Tables'!AX$1,'DATA INPUT'!$A$3:$A$3000,"&gt;="&amp;DATE(2019,10,1),'DATA INPUT'!$A$3:$A$3000,"&lt;"&amp;DATE(2019,10,31),'DATA INPUT'!$F$3:$F$3000,"&lt;&gt;*Exclude*"))/(COUNTIFS('DATA INPUT'!$B$3:$B$3000,'Report Tables'!AX$1,'DATA INPUT'!$A$3:$A$3000,"&gt;="&amp;DATE(2019,10,1),'DATA INPUT'!$A$3:$A$3000,"&lt;"&amp;DATE(2019,10,31),'DATA INPUT'!$F$3:$F$3000,"&lt;&gt;*Exclude*")),#N/A))</f>
        <v>#N/A</v>
      </c>
      <c r="AZ36" s="117" t="e">
        <f>IF($L$2="Yes",IFERROR((SUMIFS('DATA INPUT'!$C$3:$C$3000,'DATA INPUT'!$B$3:$B$3000,'Report Tables'!AX$1,'DATA INPUT'!$A$3:$A$3000,"&gt;="&amp;DATE(2019,10,1),'DATA INPUT'!$A$3:$A$3000,"&lt;"&amp;DATE(2019,10,31)))/COUNTIFS('DATA INPUT'!$B$3:$B$3000,'Report Tables'!AX$1,'DATA INPUT'!$A$3:$A$3000,"&gt;="&amp;DATE(2019,10,1),'DATA INPUT'!$A$3:$A$3000,"&lt;"&amp;DATE(2019,10,31)),#N/A),IFERROR((SUMIFS('DATA INPUT'!$C$3:$C$3000,'DATA INPUT'!$B$3:$B$3000,'Report Tables'!AX$1,'DATA INPUT'!$A$3:$A$3000,"&gt;="&amp;DATE(2019,10,1),'DATA INPUT'!$A$3:$A$3000,"&lt;"&amp;DATE(2019,10,31),'DATA INPUT'!$F$3:$F$3000,"&lt;&gt;*Exclude*"))/(COUNTIFS('DATA INPUT'!$B$3:$B$3000,'Report Tables'!AX$1,'DATA INPUT'!$A$3:$A$3000,"&gt;="&amp;DATE(2019,10,1),'DATA INPUT'!$A$3:$A$3000,"&lt;"&amp;DATE(2019,10,31),'DATA INPUT'!$F$3:$F$3000,"&lt;&gt;*Exclude*")),#N/A))</f>
        <v>#N/A</v>
      </c>
    </row>
    <row r="37" spans="1:52" ht="15" thickBot="1" x14ac:dyDescent="0.35">
      <c r="B37" s="11" t="s">
        <v>91</v>
      </c>
      <c r="C37" s="24" t="e">
        <f>IF(SUMIF(C29:C36,"&lt;&gt;#N/A")=0,#N/A,SUMIF(C29:C36,"&lt;&gt;#N/A"))</f>
        <v>#N/A</v>
      </c>
      <c r="D37" s="24" t="e">
        <f t="shared" ref="D37" si="14">IF(SUMIF(D29:D36,"&lt;&gt;#N/A")=0,#N/A,SUMIF(D29:D36,"&lt;&gt;#N/A"))</f>
        <v>#N/A</v>
      </c>
      <c r="E37" s="24" t="e">
        <f>IF(SUMIF(E29:E36,"&lt;&gt;#N/A")=0,#N/A,SUMIF(E29:E36,"&lt;&gt;#N/A"))</f>
        <v>#N/A</v>
      </c>
      <c r="F37" s="24" t="e">
        <f t="shared" ref="F37:K37" si="15">IF(SUMIF(F29:F36,"&lt;&gt;#N/A")=0,#N/A,SUMIF(F29:F36,"&lt;&gt;#N/A"))</f>
        <v>#N/A</v>
      </c>
      <c r="G37" s="24" t="e">
        <f t="shared" si="15"/>
        <v>#N/A</v>
      </c>
      <c r="H37" s="24" t="e">
        <f t="shared" si="15"/>
        <v>#N/A</v>
      </c>
      <c r="I37" s="24" t="e">
        <f t="shared" si="15"/>
        <v>#N/A</v>
      </c>
      <c r="J37" s="24" t="e">
        <f t="shared" si="15"/>
        <v>#N/A</v>
      </c>
      <c r="K37" s="24" t="e">
        <f t="shared" si="15"/>
        <v>#N/A</v>
      </c>
      <c r="L37" s="112" t="str">
        <f>IFERROR(SUMIFS(C37:K37,C37:K37,"&lt;&gt;#DIV/0!",C37:K37,"&lt;&gt;#n/a")/(COUNTIF(C37:K37,"&gt;0")),"")</f>
        <v/>
      </c>
      <c r="Y37" s="149"/>
      <c r="Z37" s="149" t="s">
        <v>22</v>
      </c>
      <c r="AA37" s="136" t="e">
        <f>IF($L$2="Yes",IF(SUMIFS('DATA INPUT'!$E$3:$E$3000,'DATA INPUT'!$B$3:$B$3000,'Report Tables'!AA$1,'DATA INPUT'!$A$3:$A$3000,"&gt;="&amp;DATE(2019,11,1),'DATA INPUT'!$A$3:$A$3000,"&lt;"&amp;DATE(2019,11,31))=0,#N/A,(SUMIFS('DATA INPUT'!$E$3:$E$3000,'DATA INPUT'!$B$3:$B$3000,'Report Tables'!AA$1,'DATA INPUT'!$A$3:$A$3000,"&gt;="&amp;DATE(2019,11,1),'DATA INPUT'!$A$3:$A$3000,"&lt;"&amp;DATE(2019,11,31)))),IF(SUMIFS('DATA INPUT'!$E$3:$E$3000,'DATA INPUT'!$B$3:$B$3000,'Report Tables'!AA$1,'DATA INPUT'!$A$3:$A$3000,"&gt;="&amp;DATE(2019,11,1),'DATA INPUT'!$A$3:$A$3000,"&lt;"&amp;DATE(2019,11,31),'DATA INPUT'!$F$3:$F$3000,"&lt;&gt;*Exclude*")=0,#N/A,(SUMIFS('DATA INPUT'!$E$3:$E$3000,'DATA INPUT'!$B$3:$B$3000,'Report Tables'!AA$1,'DATA INPUT'!$A$3:$A$3000,"&gt;="&amp;DATE(2019,11,1),'DATA INPUT'!$A$3:$A$3000,"&lt;"&amp;DATE(2019,11,31),'DATA INPUT'!$F$3:$F$3000,"&lt;&gt;*Exclude*"))))</f>
        <v>#N/A</v>
      </c>
      <c r="AB37" s="136" t="e">
        <f>IF($L$2="Yes",IF(SUMIFS('DATA INPUT'!$E$3:$E$3000,'DATA INPUT'!$B$3:$B$3000,'Report Tables'!AB$1,'DATA INPUT'!$A$3:$A$3000,"&gt;="&amp;DATE(2019,11,1),'DATA INPUT'!$A$3:$A$3000,"&lt;"&amp;DATE(2019,11,31))=0,#N/A,(SUMIFS('DATA INPUT'!$E$3:$E$3000,'DATA INPUT'!$B$3:$B$3000,'Report Tables'!AB$1,'DATA INPUT'!$A$3:$A$3000,"&gt;="&amp;DATE(2019,11,1),'DATA INPUT'!$A$3:$A$3000,"&lt;"&amp;DATE(2019,11,31)))),IF(SUMIFS('DATA INPUT'!$E$3:$E$3000,'DATA INPUT'!$B$3:$B$3000,'Report Tables'!AB$1,'DATA INPUT'!$A$3:$A$3000,"&gt;="&amp;DATE(2019,11,1),'DATA INPUT'!$A$3:$A$3000,"&lt;"&amp;DATE(2019,11,31),'DATA INPUT'!$F$3:$F$3000,"&lt;&gt;*Exclude*")=0,#N/A,(SUMIFS('DATA INPUT'!$E$3:$E$3000,'DATA INPUT'!$B$3:$B$3000,'Report Tables'!AB$1,'DATA INPUT'!$A$3:$A$3000,"&gt;="&amp;DATE(2019,11,1),'DATA INPUT'!$A$3:$A$3000,"&lt;"&amp;DATE(2019,11,31),'DATA INPUT'!$F$3:$F$3000,"&lt;&gt;*Exclude*"))))</f>
        <v>#N/A</v>
      </c>
      <c r="AC37" s="136" t="e">
        <f>IF($L$2="Yes",IF(SUMIFS('DATA INPUT'!$E$3:$E$3000,'DATA INPUT'!$B$3:$B$3000,'Report Tables'!AC$1,'DATA INPUT'!$A$3:$A$3000,"&gt;="&amp;DATE(2019,11,1),'DATA INPUT'!$A$3:$A$3000,"&lt;"&amp;DATE(2019,11,31))=0,#N/A,(SUMIFS('DATA INPUT'!$E$3:$E$3000,'DATA INPUT'!$B$3:$B$3000,'Report Tables'!AC$1,'DATA INPUT'!$A$3:$A$3000,"&gt;="&amp;DATE(2019,11,1),'DATA INPUT'!$A$3:$A$3000,"&lt;"&amp;DATE(2019,11,31)))),IF(SUMIFS('DATA INPUT'!$E$3:$E$3000,'DATA INPUT'!$B$3:$B$3000,'Report Tables'!AC$1,'DATA INPUT'!$A$3:$A$3000,"&gt;="&amp;DATE(2019,11,1),'DATA INPUT'!$A$3:$A$3000,"&lt;"&amp;DATE(2019,11,31),'DATA INPUT'!$F$3:$F$3000,"&lt;&gt;*Exclude*")=0,#N/A,(SUMIFS('DATA INPUT'!$E$3:$E$3000,'DATA INPUT'!$B$3:$B$3000,'Report Tables'!AC$1,'DATA INPUT'!$A$3:$A$3000,"&gt;="&amp;DATE(2019,11,1),'DATA INPUT'!$A$3:$A$3000,"&lt;"&amp;DATE(2019,11,31),'DATA INPUT'!$F$3:$F$3000,"&lt;&gt;*Exclude*"))))</f>
        <v>#N/A</v>
      </c>
      <c r="AD37" s="136" t="e">
        <f>IF($L$2="Yes",IF(SUMIFS('DATA INPUT'!$E$3:$E$3000,'DATA INPUT'!$B$3:$B$3000,'Report Tables'!AD$1,'DATA INPUT'!$A$3:$A$3000,"&gt;="&amp;DATE(2019,11,1),'DATA INPUT'!$A$3:$A$3000,"&lt;"&amp;DATE(2019,11,31))=0,#N/A,(SUMIFS('DATA INPUT'!$E$3:$E$3000,'DATA INPUT'!$B$3:$B$3000,'Report Tables'!AD$1,'DATA INPUT'!$A$3:$A$3000,"&gt;="&amp;DATE(2019,11,1),'DATA INPUT'!$A$3:$A$3000,"&lt;"&amp;DATE(2019,11,31)))),IF(SUMIFS('DATA INPUT'!$E$3:$E$3000,'DATA INPUT'!$B$3:$B$3000,'Report Tables'!AD$1,'DATA INPUT'!$A$3:$A$3000,"&gt;="&amp;DATE(2019,11,1),'DATA INPUT'!$A$3:$A$3000,"&lt;"&amp;DATE(2019,11,31),'DATA INPUT'!$F$3:$F$3000,"&lt;&gt;*Exclude*")=0,#N/A,(SUMIFS('DATA INPUT'!$E$3:$E$3000,'DATA INPUT'!$B$3:$B$3000,'Report Tables'!AD$1,'DATA INPUT'!$A$3:$A$3000,"&gt;="&amp;DATE(2019,11,1),'DATA INPUT'!$A$3:$A$3000,"&lt;"&amp;DATE(2019,11,31),'DATA INPUT'!$F$3:$F$3000,"&lt;&gt;*Exclude*"))))</f>
        <v>#N/A</v>
      </c>
      <c r="AE37" s="136" t="e">
        <f>IF($L$2="Yes",IF(SUMIFS('DATA INPUT'!$E$3:$E$3000,'DATA INPUT'!$B$3:$B$3000,'Report Tables'!AE$1,'DATA INPUT'!$A$3:$A$3000,"&gt;="&amp;DATE(2019,11,1),'DATA INPUT'!$A$3:$A$3000,"&lt;"&amp;DATE(2019,11,31))=0,#N/A,(SUMIFS('DATA INPUT'!$E$3:$E$3000,'DATA INPUT'!$B$3:$B$3000,'Report Tables'!AE$1,'DATA INPUT'!$A$3:$A$3000,"&gt;="&amp;DATE(2019,11,1),'DATA INPUT'!$A$3:$A$3000,"&lt;"&amp;DATE(2019,11,31)))),IF(SUMIFS('DATA INPUT'!$E$3:$E$3000,'DATA INPUT'!$B$3:$B$3000,'Report Tables'!AE$1,'DATA INPUT'!$A$3:$A$3000,"&gt;="&amp;DATE(2019,11,1),'DATA INPUT'!$A$3:$A$3000,"&lt;"&amp;DATE(2019,11,31),'DATA INPUT'!$F$3:$F$3000,"&lt;&gt;*Exclude*")=0,#N/A,(SUMIFS('DATA INPUT'!$E$3:$E$3000,'DATA INPUT'!$B$3:$B$3000,'Report Tables'!AE$1,'DATA INPUT'!$A$3:$A$3000,"&gt;="&amp;DATE(2019,11,1),'DATA INPUT'!$A$3:$A$3000,"&lt;"&amp;DATE(2019,11,31),'DATA INPUT'!$F$3:$F$3000,"&lt;&gt;*Exclude*"))))</f>
        <v>#N/A</v>
      </c>
      <c r="AF37" s="136" t="e">
        <f>IF($L$2="Yes",IF(SUMIFS('DATA INPUT'!$E$3:$E$3000,'DATA INPUT'!$B$3:$B$3000,'Report Tables'!AF$1,'DATA INPUT'!$A$3:$A$3000,"&gt;="&amp;DATE(2019,11,1),'DATA INPUT'!$A$3:$A$3000,"&lt;"&amp;DATE(2019,11,31))=0,#N/A,(SUMIFS('DATA INPUT'!$E$3:$E$3000,'DATA INPUT'!$B$3:$B$3000,'Report Tables'!AF$1,'DATA INPUT'!$A$3:$A$3000,"&gt;="&amp;DATE(2019,11,1),'DATA INPUT'!$A$3:$A$3000,"&lt;"&amp;DATE(2019,11,31)))),IF(SUMIFS('DATA INPUT'!$E$3:$E$3000,'DATA INPUT'!$B$3:$B$3000,'Report Tables'!AF$1,'DATA INPUT'!$A$3:$A$3000,"&gt;="&amp;DATE(2019,11,1),'DATA INPUT'!$A$3:$A$3000,"&lt;"&amp;DATE(2019,11,31),'DATA INPUT'!$F$3:$F$3000,"&lt;&gt;*Exclude*")=0,#N/A,(SUMIFS('DATA INPUT'!$E$3:$E$3000,'DATA INPUT'!$B$3:$B$3000,'Report Tables'!AF$1,'DATA INPUT'!$A$3:$A$3000,"&gt;="&amp;DATE(2019,11,1),'DATA INPUT'!$A$3:$A$3000,"&lt;"&amp;DATE(2019,11,31),'DATA INPUT'!$F$3:$F$3000,"&lt;&gt;*Exclude*"))))</f>
        <v>#N/A</v>
      </c>
      <c r="AG37" s="136" t="e">
        <f>IF($L$2="Yes",IF(SUMIFS('DATA INPUT'!$E$3:$E$3000,'DATA INPUT'!$B$3:$B$3000,'Report Tables'!AG$1,'DATA INPUT'!$A$3:$A$3000,"&gt;="&amp;DATE(2019,11,1),'DATA INPUT'!$A$3:$A$3000,"&lt;"&amp;DATE(2019,11,31))=0,#N/A,(SUMIFS('DATA INPUT'!$E$3:$E$3000,'DATA INPUT'!$B$3:$B$3000,'Report Tables'!AG$1,'DATA INPUT'!$A$3:$A$3000,"&gt;="&amp;DATE(2019,11,1),'DATA INPUT'!$A$3:$A$3000,"&lt;"&amp;DATE(2019,11,31)))),IF(SUMIFS('DATA INPUT'!$E$3:$E$3000,'DATA INPUT'!$B$3:$B$3000,'Report Tables'!AG$1,'DATA INPUT'!$A$3:$A$3000,"&gt;="&amp;DATE(2019,11,1),'DATA INPUT'!$A$3:$A$3000,"&lt;"&amp;DATE(2019,11,31),'DATA INPUT'!$F$3:$F$3000,"&lt;&gt;*Exclude*")=0,#N/A,(SUMIFS('DATA INPUT'!$E$3:$E$3000,'DATA INPUT'!$B$3:$B$3000,'Report Tables'!AG$1,'DATA INPUT'!$A$3:$A$3000,"&gt;="&amp;DATE(2019,11,1),'DATA INPUT'!$A$3:$A$3000,"&lt;"&amp;DATE(2019,11,31),'DATA INPUT'!$F$3:$F$3000,"&lt;&gt;*Exclude*"))))</f>
        <v>#N/A</v>
      </c>
      <c r="AH37" s="136" t="e">
        <f>IF($L$2="Yes",IF(SUMIFS('DATA INPUT'!$E$3:$E$3000,'DATA INPUT'!$B$3:$B$3000,'Report Tables'!AH$1,'DATA INPUT'!$A$3:$A$3000,"&gt;="&amp;DATE(2019,11,1),'DATA INPUT'!$A$3:$A$3000,"&lt;"&amp;DATE(2019,11,31))=0,#N/A,(SUMIFS('DATA INPUT'!$E$3:$E$3000,'DATA INPUT'!$B$3:$B$3000,'Report Tables'!AH$1,'DATA INPUT'!$A$3:$A$3000,"&gt;="&amp;DATE(2019,11,1),'DATA INPUT'!$A$3:$A$3000,"&lt;"&amp;DATE(2019,11,31)))),IF(SUMIFS('DATA INPUT'!$E$3:$E$3000,'DATA INPUT'!$B$3:$B$3000,'Report Tables'!AH$1,'DATA INPUT'!$A$3:$A$3000,"&gt;="&amp;DATE(2019,11,1),'DATA INPUT'!$A$3:$A$3000,"&lt;"&amp;DATE(2019,11,31),'DATA INPUT'!$F$3:$F$3000,"&lt;&gt;*Exclude*")=0,#N/A,(SUMIFS('DATA INPUT'!$E$3:$E$3000,'DATA INPUT'!$B$3:$B$3000,'Report Tables'!AH$1,'DATA INPUT'!$A$3:$A$3000,"&gt;="&amp;DATE(2019,11,1),'DATA INPUT'!$A$3:$A$3000,"&lt;"&amp;DATE(2019,11,31),'DATA INPUT'!$F$3:$F$3000,"&lt;&gt;*Exclude*"))))</f>
        <v>#N/A</v>
      </c>
      <c r="AI37" s="136" t="e">
        <f t="shared" si="0"/>
        <v>#N/A</v>
      </c>
      <c r="AJ37" s="136" t="e">
        <f>IF($L$2="Yes",IF(SUMIFS('DATA INPUT'!$D$3:$D$3000,'DATA INPUT'!$A$3:$A$3000,"&gt;="&amp;DATE(2019,11,1),'DATA INPUT'!$A$3:$A$3000,"&lt;"&amp;DATE(2019,11,31),'DATA INPUT'!$G$3:$G$3000,"&lt;&gt;*School service*")=0,#N/A,(SUMIFS('DATA INPUT'!$D$3:$D$3000,'DATA INPUT'!$A$3:$A$3000,"&gt;="&amp;DATE(2019,11,1),'DATA INPUT'!$A$3:$A$3000,"&lt;"&amp;DATE(2019,11,31),'DATA INPUT'!$G$3:$G$3000,"&lt;&gt;*School service*"))),IF(SUMIFS('DATA INPUT'!$D$3:$D$3000,'DATA INPUT'!$A$3:$A$3000,"&gt;="&amp;DATE(2019,11,1),'DATA INPUT'!$A$3:$A$3000,"&lt;"&amp;DATE(2019,11,31),'DATA INPUT'!$F$3:$F$3000,"&lt;&gt;*Exclude*",'DATA INPUT'!$G$3:$G$3000,"&lt;&gt;*School service*")=0,#N/A,(SUMIFS('DATA INPUT'!$D$3:$D$3000,'DATA INPUT'!$A$3:$A$3000,"&gt;="&amp;DATE(2019,11,1),'DATA INPUT'!$A$3:$A$3000,"&lt;"&amp;DATE(2019,11,31),'DATA INPUT'!$F$3:$F$3000,"&lt;&gt;*Exclude*",'DATA INPUT'!$G$3:$G$3000,"&lt;&gt;*School service*"))))</f>
        <v>#N/A</v>
      </c>
      <c r="AK37" s="136" t="e">
        <f>AI37-AJ37</f>
        <v>#N/A</v>
      </c>
      <c r="AM37" s="117" t="e">
        <f>IF($L$2="Yes",IFERROR((SUMIFS('DATA INPUT'!$E$3:$E$3000,'DATA INPUT'!$B$3:$B$3000,'Report Tables'!AM$1,'DATA INPUT'!$A$3:$A$3000,"&gt;="&amp;DATE(2019,11,1),'DATA INPUT'!$A$3:$A$3000,"&lt;"&amp;DATE(2019,11,31)))/COUNTIFS('DATA INPUT'!$B$3:$B$3000,'Report Tables'!AM$1,'DATA INPUT'!$A$3:$A$3000,"&gt;="&amp;DATE(2019,11,1),'DATA INPUT'!$A$3:$A$3000,"&lt;"&amp;DATE(2019,11,31)),#N/A),IFERROR((SUMIFS('DATA INPUT'!$E$3:$E$3000,'DATA INPUT'!$B$3:$B$3000,'Report Tables'!AM$1,'DATA INPUT'!$A$3:$A$3000,"&gt;="&amp;DATE(2019,11,1),'DATA INPUT'!$A$3:$A$3000,"&lt;"&amp;DATE(2019,11,31),'DATA INPUT'!$F$3:$F$3000,"&lt;&gt;*Exclude*"))/(COUNTIFS('DATA INPUT'!$B$3:$B$3000,'Report Tables'!AM$1,'DATA INPUT'!$A$3:$A$3000,"&gt;="&amp;DATE(2019,11,1),'DATA INPUT'!$A$3:$A$3000,"&lt;"&amp;DATE(2019,11,31),'DATA INPUT'!$F$3:$F$3000,"&lt;&gt;*Exclude*")),#N/A))</f>
        <v>#N/A</v>
      </c>
      <c r="AN37" s="117" t="e">
        <f>IF($L$2="Yes",IFERROR((SUMIFS('DATA INPUT'!$E$3:$E$3000,'DATA INPUT'!$B$3:$B$3000,'Report Tables'!AN$1,'DATA INPUT'!$A$3:$A$3000,"&gt;="&amp;DATE(2019,11,1),'DATA INPUT'!$A$3:$A$3000,"&lt;"&amp;DATE(2019,11,31)))/COUNTIFS('DATA INPUT'!$B$3:$B$3000,'Report Tables'!AN$1,'DATA INPUT'!$A$3:$A$3000,"&gt;="&amp;DATE(2019,11,1),'DATA INPUT'!$A$3:$A$3000,"&lt;"&amp;DATE(2019,11,31)),#N/A),IFERROR((SUMIFS('DATA INPUT'!$E$3:$E$3000,'DATA INPUT'!$B$3:$B$3000,'Report Tables'!AN$1,'DATA INPUT'!$A$3:$A$3000,"&gt;="&amp;DATE(2019,11,1),'DATA INPUT'!$A$3:$A$3000,"&lt;"&amp;DATE(2019,11,31),'DATA INPUT'!$F$3:$F$3000,"&lt;&gt;*Exclude*"))/(COUNTIFS('DATA INPUT'!$B$3:$B$3000,'Report Tables'!AN$1,'DATA INPUT'!$A$3:$A$3000,"&gt;="&amp;DATE(2019,11,1),'DATA INPUT'!$A$3:$A$3000,"&lt;"&amp;DATE(2019,11,31),'DATA INPUT'!$F$3:$F$3000,"&lt;&gt;*Exclude*")),#N/A))</f>
        <v>#N/A</v>
      </c>
      <c r="AO37" s="117" t="e">
        <f>IF($L$2="Yes",IFERROR((SUMIFS('DATA INPUT'!$E$3:$E$3000,'DATA INPUT'!$B$3:$B$3000,'Report Tables'!AO$1,'DATA INPUT'!$A$3:$A$3000,"&gt;="&amp;DATE(2019,11,1),'DATA INPUT'!$A$3:$A$3000,"&lt;"&amp;DATE(2019,11,31)))/COUNTIFS('DATA INPUT'!$B$3:$B$3000,'Report Tables'!AO$1,'DATA INPUT'!$A$3:$A$3000,"&gt;="&amp;DATE(2019,11,1),'DATA INPUT'!$A$3:$A$3000,"&lt;"&amp;DATE(2019,11,31)),#N/A),IFERROR((SUMIFS('DATA INPUT'!$E$3:$E$3000,'DATA INPUT'!$B$3:$B$3000,'Report Tables'!AO$1,'DATA INPUT'!$A$3:$A$3000,"&gt;="&amp;DATE(2019,11,1),'DATA INPUT'!$A$3:$A$3000,"&lt;"&amp;DATE(2019,11,31),'DATA INPUT'!$F$3:$F$3000,"&lt;&gt;*Exclude*"))/(COUNTIFS('DATA INPUT'!$B$3:$B$3000,'Report Tables'!AO$1,'DATA INPUT'!$A$3:$A$3000,"&gt;="&amp;DATE(2019,11,1),'DATA INPUT'!$A$3:$A$3000,"&lt;"&amp;DATE(2019,11,31),'DATA INPUT'!$F$3:$F$3000,"&lt;&gt;*Exclude*")),#N/A))</f>
        <v>#N/A</v>
      </c>
      <c r="AP37" s="117" t="e">
        <f>IF($L$2="Yes",IFERROR((SUMIFS('DATA INPUT'!$E$3:$E$3000,'DATA INPUT'!$B$3:$B$3000,'Report Tables'!AP$1,'DATA INPUT'!$A$3:$A$3000,"&gt;="&amp;DATE(2019,11,1),'DATA INPUT'!$A$3:$A$3000,"&lt;"&amp;DATE(2019,11,31)))/COUNTIFS('DATA INPUT'!$B$3:$B$3000,'Report Tables'!AP$1,'DATA INPUT'!$A$3:$A$3000,"&gt;="&amp;DATE(2019,11,1),'DATA INPUT'!$A$3:$A$3000,"&lt;"&amp;DATE(2019,11,31)),#N/A),IFERROR((SUMIFS('DATA INPUT'!$E$3:$E$3000,'DATA INPUT'!$B$3:$B$3000,'Report Tables'!AP$1,'DATA INPUT'!$A$3:$A$3000,"&gt;="&amp;DATE(2019,11,1),'DATA INPUT'!$A$3:$A$3000,"&lt;"&amp;DATE(2019,11,31),'DATA INPUT'!$F$3:$F$3000,"&lt;&gt;*Exclude*"))/(COUNTIFS('DATA INPUT'!$B$3:$B$3000,'Report Tables'!AP$1,'DATA INPUT'!$A$3:$A$3000,"&gt;="&amp;DATE(2019,11,1),'DATA INPUT'!$A$3:$A$3000,"&lt;"&amp;DATE(2019,11,31),'DATA INPUT'!$F$3:$F$3000,"&lt;&gt;*Exclude*")),#N/A))</f>
        <v>#N/A</v>
      </c>
      <c r="AQ37" s="117" t="e">
        <f>IF($L$2="Yes",IFERROR((SUMIFS('DATA INPUT'!$E$3:$E$3000,'DATA INPUT'!$B$3:$B$3000,'Report Tables'!AQ$1,'DATA INPUT'!$A$3:$A$3000,"&gt;="&amp;DATE(2019,11,1),'DATA INPUT'!$A$3:$A$3000,"&lt;"&amp;DATE(2019,11,31)))/COUNTIFS('DATA INPUT'!$B$3:$B$3000,'Report Tables'!AQ$1,'DATA INPUT'!$A$3:$A$3000,"&gt;="&amp;DATE(2019,11,1),'DATA INPUT'!$A$3:$A$3000,"&lt;"&amp;DATE(2019,11,31)),#N/A),IFERROR((SUMIFS('DATA INPUT'!$E$3:$E$3000,'DATA INPUT'!$B$3:$B$3000,'Report Tables'!AQ$1,'DATA INPUT'!$A$3:$A$3000,"&gt;="&amp;DATE(2019,11,1),'DATA INPUT'!$A$3:$A$3000,"&lt;"&amp;DATE(2019,11,31),'DATA INPUT'!$F$3:$F$3000,"&lt;&gt;*Exclude*"))/(COUNTIFS('DATA INPUT'!$B$3:$B$3000,'Report Tables'!AQ$1,'DATA INPUT'!$A$3:$A$3000,"&gt;="&amp;DATE(2019,11,1),'DATA INPUT'!$A$3:$A$3000,"&lt;"&amp;DATE(2019,11,31),'DATA INPUT'!$F$3:$F$3000,"&lt;&gt;*Exclude*")),#N/A))</f>
        <v>#N/A</v>
      </c>
      <c r="AR37" s="117" t="e">
        <f>IF($L$2="Yes",IFERROR((SUMIFS('DATA INPUT'!$E$3:$E$3000,'DATA INPUT'!$B$3:$B$3000,'Report Tables'!AR$1,'DATA INPUT'!$A$3:$A$3000,"&gt;="&amp;DATE(2019,11,1),'DATA INPUT'!$A$3:$A$3000,"&lt;"&amp;DATE(2019,11,31)))/COUNTIFS('DATA INPUT'!$B$3:$B$3000,'Report Tables'!AR$1,'DATA INPUT'!$A$3:$A$3000,"&gt;="&amp;DATE(2019,11,1),'DATA INPUT'!$A$3:$A$3000,"&lt;"&amp;DATE(2019,11,31)),#N/A),IFERROR((SUMIFS('DATA INPUT'!$E$3:$E$3000,'DATA INPUT'!$B$3:$B$3000,'Report Tables'!AR$1,'DATA INPUT'!$A$3:$A$3000,"&gt;="&amp;DATE(2019,11,1),'DATA INPUT'!$A$3:$A$3000,"&lt;"&amp;DATE(2019,11,31),'DATA INPUT'!$F$3:$F$3000,"&lt;&gt;*Exclude*"))/(COUNTIFS('DATA INPUT'!$B$3:$B$3000,'Report Tables'!AR$1,'DATA INPUT'!$A$3:$A$3000,"&gt;="&amp;DATE(2019,11,1),'DATA INPUT'!$A$3:$A$3000,"&lt;"&amp;DATE(2019,11,31),'DATA INPUT'!$F$3:$F$3000,"&lt;&gt;*Exclude*")),#N/A))</f>
        <v>#N/A</v>
      </c>
      <c r="AS37" s="117" t="e">
        <f>IF($L$2="Yes",IFERROR((SUMIFS('DATA INPUT'!$E$3:$E$3000,'DATA INPUT'!$B$3:$B$3000,'Report Tables'!AS$1,'DATA INPUT'!$A$3:$A$3000,"&gt;="&amp;DATE(2019,11,1),'DATA INPUT'!$A$3:$A$3000,"&lt;"&amp;DATE(2019,11,31)))/COUNTIFS('DATA INPUT'!$B$3:$B$3000,'Report Tables'!AS$1,'DATA INPUT'!$A$3:$A$3000,"&gt;="&amp;DATE(2019,11,1),'DATA INPUT'!$A$3:$A$3000,"&lt;"&amp;DATE(2019,11,31)),#N/A),IFERROR((SUMIFS('DATA INPUT'!$E$3:$E$3000,'DATA INPUT'!$B$3:$B$3000,'Report Tables'!AS$1,'DATA INPUT'!$A$3:$A$3000,"&gt;="&amp;DATE(2019,11,1),'DATA INPUT'!$A$3:$A$3000,"&lt;"&amp;DATE(2019,11,31),'DATA INPUT'!$F$3:$F$3000,"&lt;&gt;*Exclude*"))/(COUNTIFS('DATA INPUT'!$B$3:$B$3000,'Report Tables'!AS$1,'DATA INPUT'!$A$3:$A$3000,"&gt;="&amp;DATE(2019,11,1),'DATA INPUT'!$A$3:$A$3000,"&lt;"&amp;DATE(2019,11,31),'DATA INPUT'!$F$3:$F$3000,"&lt;&gt;*Exclude*")),#N/A))</f>
        <v>#N/A</v>
      </c>
      <c r="AT37" s="117" t="e">
        <f>IF($L$2="Yes",IFERROR((SUMIFS('DATA INPUT'!$E$3:$E$3000,'DATA INPUT'!$B$3:$B$3000,'Report Tables'!AT$1,'DATA INPUT'!$A$3:$A$3000,"&gt;="&amp;DATE(2019,11,1),'DATA INPUT'!$A$3:$A$3000,"&lt;"&amp;DATE(2019,11,31)))/COUNTIFS('DATA INPUT'!$B$3:$B$3000,'Report Tables'!AT$1,'DATA INPUT'!$A$3:$A$3000,"&gt;="&amp;DATE(2019,11,1),'DATA INPUT'!$A$3:$A$3000,"&lt;"&amp;DATE(2019,11,31)),#N/A),IFERROR((SUMIFS('DATA INPUT'!$E$3:$E$3000,'DATA INPUT'!$B$3:$B$3000,'Report Tables'!AT$1,'DATA INPUT'!$A$3:$A$3000,"&gt;="&amp;DATE(2019,11,1),'DATA INPUT'!$A$3:$A$3000,"&lt;"&amp;DATE(2019,11,31),'DATA INPUT'!$F$3:$F$3000,"&lt;&gt;*Exclude*"))/(COUNTIFS('DATA INPUT'!$B$3:$B$3000,'Report Tables'!AT$1,'DATA INPUT'!$A$3:$A$3000,"&gt;="&amp;DATE(2019,11,1),'DATA INPUT'!$A$3:$A$3000,"&lt;"&amp;DATE(2019,11,31),'DATA INPUT'!$F$3:$F$3000,"&lt;&gt;*Exclude*")),#N/A))</f>
        <v>#N/A</v>
      </c>
      <c r="AU37" s="117" t="e">
        <f t="shared" si="1"/>
        <v>#N/A</v>
      </c>
      <c r="AV37" s="117" t="e">
        <f>IF($L$2="Yes",IFERROR((SUMIFS('DATA INPUT'!$D$3:$D$3000,'DATA INPUT'!$A$3:$A$3000,"&gt;="&amp;DATE(2019,11,1),'DATA INPUT'!$A$3:$A$3000,"&lt;"&amp;DATE(2019,11,31),'DATA INPUT'!$G$3:$G$3000,"&lt;&gt;*School service*"))/COUNTIFS('DATA INPUT'!$A$3:$A$3000,"&gt;="&amp;DATE(2019,11,1),'DATA INPUT'!$A$3:$A$3000,"&lt;"&amp;DATE(2019,11,31),'DATA INPUT'!$G$3:$G$3000,"&lt;&gt;*School service*",'DATA INPUT'!$D$3:$D$3000,"&lt;&gt;"&amp;""),#N/A),IFERROR((SUMIFS('DATA INPUT'!$D$3:$D$3000,'DATA INPUT'!$A$3:$A$3000,"&gt;="&amp;DATE(2019,11,1),'DATA INPUT'!$A$3:$A$3000,"&lt;"&amp;DATE(2019,11,31),'DATA INPUT'!$F$3:$F$3000,"&lt;&gt;*Exclude*",'DATA INPUT'!$G$3:$G$3000,"&lt;&gt;*School service*"))/(COUNTIFS('DATA INPUT'!$A$3:$A$3000,"&gt;="&amp;DATE(2019,11,1),'DATA INPUT'!$A$3:$A$3000,"&lt;"&amp;DATE(2019,11,31),'DATA INPUT'!$F$3:$F$3000,"&lt;&gt;*Exclude*",'DATA INPUT'!$G$3:$G$3000,"&lt;&gt;*School service*",'DATA INPUT'!$D$3:$D$3000,"&lt;&gt;"&amp;"")),#N/A))</f>
        <v>#N/A</v>
      </c>
      <c r="AW37" s="117" t="e">
        <f t="shared" si="2"/>
        <v>#N/A</v>
      </c>
      <c r="AX37" s="117" t="e">
        <f>IF($L$2="Yes",IFERROR((SUMIFS('DATA INPUT'!$E$3:$E$3000,'DATA INPUT'!$B$3:$B$3000,'Report Tables'!AX$1,'DATA INPUT'!$A$3:$A$3000,"&gt;="&amp;DATE(2019,11,1),'DATA INPUT'!$A$3:$A$3000,"&lt;"&amp;DATE(2019,11,31)))/COUNTIFS('DATA INPUT'!$B$3:$B$3000,'Report Tables'!AX$1,'DATA INPUT'!$A$3:$A$3000,"&gt;="&amp;DATE(2019,11,1),'DATA INPUT'!$A$3:$A$3000,"&lt;"&amp;DATE(2019,11,31)),#N/A),IFERROR((SUMIFS('DATA INPUT'!$E$3:$E$3000,'DATA INPUT'!$B$3:$B$3000,'Report Tables'!AX$1,'DATA INPUT'!$A$3:$A$3000,"&gt;="&amp;DATE(2019,11,1),'DATA INPUT'!$A$3:$A$3000,"&lt;"&amp;DATE(2019,11,31),'DATA INPUT'!$F$3:$F$3000,"&lt;&gt;*Exclude*"))/(COUNTIFS('DATA INPUT'!$B$3:$B$3000,'Report Tables'!AX$1,'DATA INPUT'!$A$3:$A$3000,"&gt;="&amp;DATE(2019,11,1),'DATA INPUT'!$A$3:$A$3000,"&lt;"&amp;DATE(2019,11,31),'DATA INPUT'!$F$3:$F$3000,"&lt;&gt;*Exclude*")),#N/A))</f>
        <v>#N/A</v>
      </c>
      <c r="AY37" s="117" t="e">
        <f>IF($L$2="Yes",IFERROR((SUMIFS('DATA INPUT'!$D$3:$D$3000,'DATA INPUT'!$B$3:$B$3000,'Report Tables'!AX$1,'DATA INPUT'!$A$3:$A$3000,"&gt;="&amp;DATE(2019,11,1),'DATA INPUT'!$A$3:$A$3000,"&lt;"&amp;DATE(2019,11,31)))/COUNTIFS('DATA INPUT'!$B$3:$B$3000,'Report Tables'!AX$1,'DATA INPUT'!$A$3:$A$3000,"&gt;="&amp;DATE(2019,11,1),'DATA INPUT'!$A$3:$A$3000,"&lt;"&amp;DATE(2019,11,31)),#N/A),IFERROR((SUMIFS('DATA INPUT'!$D$3:$D$3000,'DATA INPUT'!$B$3:$B$3000,'Report Tables'!AX$1,'DATA INPUT'!$A$3:$A$3000,"&gt;="&amp;DATE(2019,11,1),'DATA INPUT'!$A$3:$A$3000,"&lt;"&amp;DATE(2019,11,31),'DATA INPUT'!$F$3:$F$3000,"&lt;&gt;*Exclude*"))/(COUNTIFS('DATA INPUT'!$B$3:$B$3000,'Report Tables'!AX$1,'DATA INPUT'!$A$3:$A$3000,"&gt;="&amp;DATE(2019,11,1),'DATA INPUT'!$A$3:$A$3000,"&lt;"&amp;DATE(2019,11,31),'DATA INPUT'!$F$3:$F$3000,"&lt;&gt;*Exclude*")),#N/A))</f>
        <v>#N/A</v>
      </c>
      <c r="AZ37" s="117" t="e">
        <f>IF($L$2="Yes",IFERROR((SUMIFS('DATA INPUT'!$C$3:$C$3000,'DATA INPUT'!$B$3:$B$3000,'Report Tables'!AX$1,'DATA INPUT'!$A$3:$A$3000,"&gt;="&amp;DATE(2019,11,1),'DATA INPUT'!$A$3:$A$3000,"&lt;"&amp;DATE(2019,11,31)))/COUNTIFS('DATA INPUT'!$B$3:$B$3000,'Report Tables'!AX$1,'DATA INPUT'!$A$3:$A$3000,"&gt;="&amp;DATE(2019,11,1),'DATA INPUT'!$A$3:$A$3000,"&lt;"&amp;DATE(2019,11,31)),#N/A),IFERROR((SUMIFS('DATA INPUT'!$C$3:$C$3000,'DATA INPUT'!$B$3:$B$3000,'Report Tables'!AX$1,'DATA INPUT'!$A$3:$A$3000,"&gt;="&amp;DATE(2019,11,1),'DATA INPUT'!$A$3:$A$3000,"&lt;"&amp;DATE(2019,11,31),'DATA INPUT'!$F$3:$F$3000,"&lt;&gt;*Exclude*"))/(COUNTIFS('DATA INPUT'!$B$3:$B$3000,'Report Tables'!AX$1,'DATA INPUT'!$A$3:$A$3000,"&gt;="&amp;DATE(2019,11,1),'DATA INPUT'!$A$3:$A$3000,"&lt;"&amp;DATE(2019,11,31),'DATA INPUT'!$F$3:$F$3000,"&lt;&gt;*Exclude*")),#N/A))</f>
        <v>#N/A</v>
      </c>
    </row>
    <row r="38" spans="1:52" x14ac:dyDescent="0.3">
      <c r="B38" s="11" t="s">
        <v>92</v>
      </c>
      <c r="C38" s="24" t="e">
        <f t="shared" ref="C38:L38" si="16">IF((SUMIFS(C29:C36,$A$29:$A$36,"&lt;&gt;School Service",C29:C36,"&lt;&gt;#N/A"))=0,#N/A,(SUMIFS(C29:C36,$A$29:$A$36,"&lt;&gt;School Service",C29:C36,"&lt;&gt;#N/A")))</f>
        <v>#N/A</v>
      </c>
      <c r="D38" s="24" t="e">
        <f t="shared" si="16"/>
        <v>#N/A</v>
      </c>
      <c r="E38" s="24" t="e">
        <f t="shared" si="16"/>
        <v>#N/A</v>
      </c>
      <c r="F38" s="24" t="e">
        <f t="shared" si="16"/>
        <v>#N/A</v>
      </c>
      <c r="G38" s="24" t="e">
        <f t="shared" si="16"/>
        <v>#N/A</v>
      </c>
      <c r="H38" s="24" t="e">
        <f t="shared" si="16"/>
        <v>#N/A</v>
      </c>
      <c r="I38" s="24" t="e">
        <f t="shared" si="16"/>
        <v>#N/A</v>
      </c>
      <c r="J38" s="24" t="e">
        <f t="shared" si="16"/>
        <v>#N/A</v>
      </c>
      <c r="K38" s="24" t="e">
        <f t="shared" si="16"/>
        <v>#N/A</v>
      </c>
      <c r="L38" s="112" t="e">
        <f t="shared" si="16"/>
        <v>#N/A</v>
      </c>
      <c r="Y38" s="149"/>
      <c r="Z38" s="149" t="s">
        <v>23</v>
      </c>
      <c r="AA38" s="136" t="e">
        <f>IF($L$2="Yes",IF(SUMIFS('DATA INPUT'!$E$3:$E$3000,'DATA INPUT'!$B$3:$B$3000,'Report Tables'!AA$1,'DATA INPUT'!$A$3:$A$3000,"&gt;="&amp;DATE(2019,12,1),'DATA INPUT'!$A$3:$A$3000,"&lt;"&amp;DATE(2019,12,31))=0,#N/A,(SUMIFS('DATA INPUT'!$E$3:$E$3000,'DATA INPUT'!$B$3:$B$3000,'Report Tables'!AA$1,'DATA INPUT'!$A$3:$A$3000,"&gt;="&amp;DATE(2019,12,1),'DATA INPUT'!$A$3:$A$3000,"&lt;"&amp;DATE(2019,12,31)))),IF(SUMIFS('DATA INPUT'!$E$3:$E$3000,'DATA INPUT'!$B$3:$B$3000,'Report Tables'!AA$1,'DATA INPUT'!$A$3:$A$3000,"&gt;="&amp;DATE(2019,12,1),'DATA INPUT'!$A$3:$A$3000,"&lt;"&amp;DATE(2019,12,31),'DATA INPUT'!$F$3:$F$3000,"&lt;&gt;*Exclude*")=0,#N/A,(SUMIFS('DATA INPUT'!$E$3:$E$3000,'DATA INPUT'!$B$3:$B$3000,'Report Tables'!AA$1,'DATA INPUT'!$A$3:$A$3000,"&gt;="&amp;DATE(2019,12,1),'DATA INPUT'!$A$3:$A$3000,"&lt;"&amp;DATE(2019,12,31),'DATA INPUT'!$F$3:$F$3000,"&lt;&gt;*Exclude*"))))</f>
        <v>#N/A</v>
      </c>
      <c r="AB38" s="136" t="e">
        <f>IF($L$2="Yes",IF(SUMIFS('DATA INPUT'!$E$3:$E$3000,'DATA INPUT'!$B$3:$B$3000,'Report Tables'!AB$1,'DATA INPUT'!$A$3:$A$3000,"&gt;="&amp;DATE(2019,12,1),'DATA INPUT'!$A$3:$A$3000,"&lt;"&amp;DATE(2019,12,31))=0,#N/A,(SUMIFS('DATA INPUT'!$E$3:$E$3000,'DATA INPUT'!$B$3:$B$3000,'Report Tables'!AB$1,'DATA INPUT'!$A$3:$A$3000,"&gt;="&amp;DATE(2019,12,1),'DATA INPUT'!$A$3:$A$3000,"&lt;"&amp;DATE(2019,12,31)))),IF(SUMIFS('DATA INPUT'!$E$3:$E$3000,'DATA INPUT'!$B$3:$B$3000,'Report Tables'!AB$1,'DATA INPUT'!$A$3:$A$3000,"&gt;="&amp;DATE(2019,12,1),'DATA INPUT'!$A$3:$A$3000,"&lt;"&amp;DATE(2019,12,31),'DATA INPUT'!$F$3:$F$3000,"&lt;&gt;*Exclude*")=0,#N/A,(SUMIFS('DATA INPUT'!$E$3:$E$3000,'DATA INPUT'!$B$3:$B$3000,'Report Tables'!AB$1,'DATA INPUT'!$A$3:$A$3000,"&gt;="&amp;DATE(2019,12,1),'DATA INPUT'!$A$3:$A$3000,"&lt;"&amp;DATE(2019,12,31),'DATA INPUT'!$F$3:$F$3000,"&lt;&gt;*Exclude*"))))</f>
        <v>#N/A</v>
      </c>
      <c r="AC38" s="136" t="e">
        <f>IF($L$2="Yes",IF(SUMIFS('DATA INPUT'!$E$3:$E$3000,'DATA INPUT'!$B$3:$B$3000,'Report Tables'!AC$1,'DATA INPUT'!$A$3:$A$3000,"&gt;="&amp;DATE(2019,12,1),'DATA INPUT'!$A$3:$A$3000,"&lt;"&amp;DATE(2019,12,31))=0,#N/A,(SUMIFS('DATA INPUT'!$E$3:$E$3000,'DATA INPUT'!$B$3:$B$3000,'Report Tables'!AC$1,'DATA INPUT'!$A$3:$A$3000,"&gt;="&amp;DATE(2019,12,1),'DATA INPUT'!$A$3:$A$3000,"&lt;"&amp;DATE(2019,12,31)))),IF(SUMIFS('DATA INPUT'!$E$3:$E$3000,'DATA INPUT'!$B$3:$B$3000,'Report Tables'!AC$1,'DATA INPUT'!$A$3:$A$3000,"&gt;="&amp;DATE(2019,12,1),'DATA INPUT'!$A$3:$A$3000,"&lt;"&amp;DATE(2019,12,31),'DATA INPUT'!$F$3:$F$3000,"&lt;&gt;*Exclude*")=0,#N/A,(SUMIFS('DATA INPUT'!$E$3:$E$3000,'DATA INPUT'!$B$3:$B$3000,'Report Tables'!AC$1,'DATA INPUT'!$A$3:$A$3000,"&gt;="&amp;DATE(2019,12,1),'DATA INPUT'!$A$3:$A$3000,"&lt;"&amp;DATE(2019,12,31),'DATA INPUT'!$F$3:$F$3000,"&lt;&gt;*Exclude*"))))</f>
        <v>#N/A</v>
      </c>
      <c r="AD38" s="136" t="e">
        <f>IF($L$2="Yes",IF(SUMIFS('DATA INPUT'!$E$3:$E$3000,'DATA INPUT'!$B$3:$B$3000,'Report Tables'!AD$1,'DATA INPUT'!$A$3:$A$3000,"&gt;="&amp;DATE(2019,12,1),'DATA INPUT'!$A$3:$A$3000,"&lt;"&amp;DATE(2019,12,31))=0,#N/A,(SUMIFS('DATA INPUT'!$E$3:$E$3000,'DATA INPUT'!$B$3:$B$3000,'Report Tables'!AD$1,'DATA INPUT'!$A$3:$A$3000,"&gt;="&amp;DATE(2019,12,1),'DATA INPUT'!$A$3:$A$3000,"&lt;"&amp;DATE(2019,12,31)))),IF(SUMIFS('DATA INPUT'!$E$3:$E$3000,'DATA INPUT'!$B$3:$B$3000,'Report Tables'!AD$1,'DATA INPUT'!$A$3:$A$3000,"&gt;="&amp;DATE(2019,12,1),'DATA INPUT'!$A$3:$A$3000,"&lt;"&amp;DATE(2019,12,31),'DATA INPUT'!$F$3:$F$3000,"&lt;&gt;*Exclude*")=0,#N/A,(SUMIFS('DATA INPUT'!$E$3:$E$3000,'DATA INPUT'!$B$3:$B$3000,'Report Tables'!AD$1,'DATA INPUT'!$A$3:$A$3000,"&gt;="&amp;DATE(2019,12,1),'DATA INPUT'!$A$3:$A$3000,"&lt;"&amp;DATE(2019,12,31),'DATA INPUT'!$F$3:$F$3000,"&lt;&gt;*Exclude*"))))</f>
        <v>#N/A</v>
      </c>
      <c r="AE38" s="136" t="e">
        <f>IF($L$2="Yes",IF(SUMIFS('DATA INPUT'!$E$3:$E$3000,'DATA INPUT'!$B$3:$B$3000,'Report Tables'!AE$1,'DATA INPUT'!$A$3:$A$3000,"&gt;="&amp;DATE(2019,12,1),'DATA INPUT'!$A$3:$A$3000,"&lt;"&amp;DATE(2019,12,31))=0,#N/A,(SUMIFS('DATA INPUT'!$E$3:$E$3000,'DATA INPUT'!$B$3:$B$3000,'Report Tables'!AE$1,'DATA INPUT'!$A$3:$A$3000,"&gt;="&amp;DATE(2019,12,1),'DATA INPUT'!$A$3:$A$3000,"&lt;"&amp;DATE(2019,12,31)))),IF(SUMIFS('DATA INPUT'!$E$3:$E$3000,'DATA INPUT'!$B$3:$B$3000,'Report Tables'!AE$1,'DATA INPUT'!$A$3:$A$3000,"&gt;="&amp;DATE(2019,12,1),'DATA INPUT'!$A$3:$A$3000,"&lt;"&amp;DATE(2019,12,31),'DATA INPUT'!$F$3:$F$3000,"&lt;&gt;*Exclude*")=0,#N/A,(SUMIFS('DATA INPUT'!$E$3:$E$3000,'DATA INPUT'!$B$3:$B$3000,'Report Tables'!AE$1,'DATA INPUT'!$A$3:$A$3000,"&gt;="&amp;DATE(2019,12,1),'DATA INPUT'!$A$3:$A$3000,"&lt;"&amp;DATE(2019,12,31),'DATA INPUT'!$F$3:$F$3000,"&lt;&gt;*Exclude*"))))</f>
        <v>#N/A</v>
      </c>
      <c r="AF38" s="136" t="e">
        <f>IF($L$2="Yes",IF(SUMIFS('DATA INPUT'!$E$3:$E$3000,'DATA INPUT'!$B$3:$B$3000,'Report Tables'!AF$1,'DATA INPUT'!$A$3:$A$3000,"&gt;="&amp;DATE(2019,12,1),'DATA INPUT'!$A$3:$A$3000,"&lt;"&amp;DATE(2019,12,31))=0,#N/A,(SUMIFS('DATA INPUT'!$E$3:$E$3000,'DATA INPUT'!$B$3:$B$3000,'Report Tables'!AF$1,'DATA INPUT'!$A$3:$A$3000,"&gt;="&amp;DATE(2019,12,1),'DATA INPUT'!$A$3:$A$3000,"&lt;"&amp;DATE(2019,12,31)))),IF(SUMIFS('DATA INPUT'!$E$3:$E$3000,'DATA INPUT'!$B$3:$B$3000,'Report Tables'!AF$1,'DATA INPUT'!$A$3:$A$3000,"&gt;="&amp;DATE(2019,12,1),'DATA INPUT'!$A$3:$A$3000,"&lt;"&amp;DATE(2019,12,31),'DATA INPUT'!$F$3:$F$3000,"&lt;&gt;*Exclude*")=0,#N/A,(SUMIFS('DATA INPUT'!$E$3:$E$3000,'DATA INPUT'!$B$3:$B$3000,'Report Tables'!AF$1,'DATA INPUT'!$A$3:$A$3000,"&gt;="&amp;DATE(2019,12,1),'DATA INPUT'!$A$3:$A$3000,"&lt;"&amp;DATE(2019,12,31),'DATA INPUT'!$F$3:$F$3000,"&lt;&gt;*Exclude*"))))</f>
        <v>#N/A</v>
      </c>
      <c r="AG38" s="136" t="e">
        <f>IF($L$2="Yes",IF(SUMIFS('DATA INPUT'!$E$3:$E$3000,'DATA INPUT'!$B$3:$B$3000,'Report Tables'!AG$1,'DATA INPUT'!$A$3:$A$3000,"&gt;="&amp;DATE(2019,12,1),'DATA INPUT'!$A$3:$A$3000,"&lt;"&amp;DATE(2019,12,31))=0,#N/A,(SUMIFS('DATA INPUT'!$E$3:$E$3000,'DATA INPUT'!$B$3:$B$3000,'Report Tables'!AG$1,'DATA INPUT'!$A$3:$A$3000,"&gt;="&amp;DATE(2019,12,1),'DATA INPUT'!$A$3:$A$3000,"&lt;"&amp;DATE(2019,12,31)))),IF(SUMIFS('DATA INPUT'!$E$3:$E$3000,'DATA INPUT'!$B$3:$B$3000,'Report Tables'!AG$1,'DATA INPUT'!$A$3:$A$3000,"&gt;="&amp;DATE(2019,12,1),'DATA INPUT'!$A$3:$A$3000,"&lt;"&amp;DATE(2019,12,31),'DATA INPUT'!$F$3:$F$3000,"&lt;&gt;*Exclude*")=0,#N/A,(SUMIFS('DATA INPUT'!$E$3:$E$3000,'DATA INPUT'!$B$3:$B$3000,'Report Tables'!AG$1,'DATA INPUT'!$A$3:$A$3000,"&gt;="&amp;DATE(2019,12,1),'DATA INPUT'!$A$3:$A$3000,"&lt;"&amp;DATE(2019,12,31),'DATA INPUT'!$F$3:$F$3000,"&lt;&gt;*Exclude*"))))</f>
        <v>#N/A</v>
      </c>
      <c r="AH38" s="136" t="e">
        <f>IF($L$2="Yes",IF(SUMIFS('DATA INPUT'!$E$3:$E$3000,'DATA INPUT'!$B$3:$B$3000,'Report Tables'!AH$1,'DATA INPUT'!$A$3:$A$3000,"&gt;="&amp;DATE(2019,12,1),'DATA INPUT'!$A$3:$A$3000,"&lt;"&amp;DATE(2019,12,31))=0,#N/A,(SUMIFS('DATA INPUT'!$E$3:$E$3000,'DATA INPUT'!$B$3:$B$3000,'Report Tables'!AH$1,'DATA INPUT'!$A$3:$A$3000,"&gt;="&amp;DATE(2019,12,1),'DATA INPUT'!$A$3:$A$3000,"&lt;"&amp;DATE(2019,12,31)))),IF(SUMIFS('DATA INPUT'!$E$3:$E$3000,'DATA INPUT'!$B$3:$B$3000,'Report Tables'!AH$1,'DATA INPUT'!$A$3:$A$3000,"&gt;="&amp;DATE(2019,12,1),'DATA INPUT'!$A$3:$A$3000,"&lt;"&amp;DATE(2019,12,31),'DATA INPUT'!$F$3:$F$3000,"&lt;&gt;*Exclude*")=0,#N/A,(SUMIFS('DATA INPUT'!$E$3:$E$3000,'DATA INPUT'!$B$3:$B$3000,'Report Tables'!AH$1,'DATA INPUT'!$A$3:$A$3000,"&gt;="&amp;DATE(2019,12,1),'DATA INPUT'!$A$3:$A$3000,"&lt;"&amp;DATE(2019,12,31),'DATA INPUT'!$F$3:$F$3000,"&lt;&gt;*Exclude*"))))</f>
        <v>#N/A</v>
      </c>
      <c r="AI38" s="136" t="e">
        <f t="shared" si="0"/>
        <v>#N/A</v>
      </c>
      <c r="AJ38" s="136" t="e">
        <f>IF($L$2="Yes",IF(SUMIFS('DATA INPUT'!$D$3:$D$3000,'DATA INPUT'!$A$3:$A$3000,"&gt;="&amp;DATE(2019,12,1),'DATA INPUT'!$A$3:$A$3000,"&lt;"&amp;DATE(2019,12,31),'DATA INPUT'!$G$3:$G$3000,"&lt;&gt;*School service*")=0,#N/A,(SUMIFS('DATA INPUT'!$D$3:$D$3000,'DATA INPUT'!$A$3:$A$3000,"&gt;="&amp;DATE(2019,12,1),'DATA INPUT'!$A$3:$A$3000,"&lt;"&amp;DATE(2019,12,31),'DATA INPUT'!$G$3:$G$3000,"&lt;&gt;*School service*"))),IF(SUMIFS('DATA INPUT'!$D$3:$D$3000,'DATA INPUT'!$A$3:$A$3000,"&gt;="&amp;DATE(2019,12,1),'DATA INPUT'!$A$3:$A$3000,"&lt;"&amp;DATE(2019,12,31),'DATA INPUT'!$F$3:$F$3000,"&lt;&gt;*Exclude*",'DATA INPUT'!$G$3:$G$3000,"&lt;&gt;*School service*")=0,#N/A,(SUMIFS('DATA INPUT'!$D$3:$D$3000,'DATA INPUT'!$A$3:$A$3000,"&gt;="&amp;DATE(2019,12,1),'DATA INPUT'!$A$3:$A$3000,"&lt;"&amp;DATE(2019,12,31),'DATA INPUT'!$F$3:$F$3000,"&lt;&gt;*Exclude*",'DATA INPUT'!$G$3:$G$3000,"&lt;&gt;*School service*"))))</f>
        <v>#N/A</v>
      </c>
      <c r="AK38" s="136" t="e">
        <f>AI38-AJ38</f>
        <v>#N/A</v>
      </c>
      <c r="AM38" s="117" t="e">
        <f>IF($L$2="Yes",IFERROR((SUMIFS('DATA INPUT'!$E$3:$E$3000,'DATA INPUT'!$B$3:$B$3000,'Report Tables'!AM$1,'DATA INPUT'!$A$3:$A$3000,"&gt;="&amp;DATE(2019,12,1),'DATA INPUT'!$A$3:$A$3000,"&lt;"&amp;DATE(2019,12,31)))/COUNTIFS('DATA INPUT'!$B$3:$B$3000,'Report Tables'!AM$1,'DATA INPUT'!$A$3:$A$3000,"&gt;="&amp;DATE(2019,12,1),'DATA INPUT'!$A$3:$A$3000,"&lt;"&amp;DATE(2019,12,31)),#N/A),IFERROR((SUMIFS('DATA INPUT'!$E$3:$E$3000,'DATA INPUT'!$B$3:$B$3000,'Report Tables'!AM$1,'DATA INPUT'!$A$3:$A$3000,"&gt;="&amp;DATE(2019,12,1),'DATA INPUT'!$A$3:$A$3000,"&lt;"&amp;DATE(2019,12,31),'DATA INPUT'!$F$3:$F$3000,"&lt;&gt;*Exclude*"))/(COUNTIFS('DATA INPUT'!$B$3:$B$3000,'Report Tables'!AM$1,'DATA INPUT'!$A$3:$A$3000,"&gt;="&amp;DATE(2019,12,1),'DATA INPUT'!$A$3:$A$3000,"&lt;"&amp;DATE(2019,12,31),'DATA INPUT'!$F$3:$F$3000,"&lt;&gt;*Exclude*")),#N/A))</f>
        <v>#N/A</v>
      </c>
      <c r="AN38" s="117" t="e">
        <f>IF($L$2="Yes",IFERROR((SUMIFS('DATA INPUT'!$E$3:$E$3000,'DATA INPUT'!$B$3:$B$3000,'Report Tables'!AN$1,'DATA INPUT'!$A$3:$A$3000,"&gt;="&amp;DATE(2019,12,1),'DATA INPUT'!$A$3:$A$3000,"&lt;"&amp;DATE(2019,12,31)))/COUNTIFS('DATA INPUT'!$B$3:$B$3000,'Report Tables'!AN$1,'DATA INPUT'!$A$3:$A$3000,"&gt;="&amp;DATE(2019,12,1),'DATA INPUT'!$A$3:$A$3000,"&lt;"&amp;DATE(2019,12,31)),#N/A),IFERROR((SUMIFS('DATA INPUT'!$E$3:$E$3000,'DATA INPUT'!$B$3:$B$3000,'Report Tables'!AN$1,'DATA INPUT'!$A$3:$A$3000,"&gt;="&amp;DATE(2019,12,1),'DATA INPUT'!$A$3:$A$3000,"&lt;"&amp;DATE(2019,12,31),'DATA INPUT'!$F$3:$F$3000,"&lt;&gt;*Exclude*"))/(COUNTIFS('DATA INPUT'!$B$3:$B$3000,'Report Tables'!AN$1,'DATA INPUT'!$A$3:$A$3000,"&gt;="&amp;DATE(2019,12,1),'DATA INPUT'!$A$3:$A$3000,"&lt;"&amp;DATE(2019,12,31),'DATA INPUT'!$F$3:$F$3000,"&lt;&gt;*Exclude*")),#N/A))</f>
        <v>#N/A</v>
      </c>
      <c r="AO38" s="117" t="e">
        <f>IF($L$2="Yes",IFERROR((SUMIFS('DATA INPUT'!$E$3:$E$3000,'DATA INPUT'!$B$3:$B$3000,'Report Tables'!AO$1,'DATA INPUT'!$A$3:$A$3000,"&gt;="&amp;DATE(2019,12,1),'DATA INPUT'!$A$3:$A$3000,"&lt;"&amp;DATE(2019,12,31)))/COUNTIFS('DATA INPUT'!$B$3:$B$3000,'Report Tables'!AO$1,'DATA INPUT'!$A$3:$A$3000,"&gt;="&amp;DATE(2019,12,1),'DATA INPUT'!$A$3:$A$3000,"&lt;"&amp;DATE(2019,12,31)),#N/A),IFERROR((SUMIFS('DATA INPUT'!$E$3:$E$3000,'DATA INPUT'!$B$3:$B$3000,'Report Tables'!AO$1,'DATA INPUT'!$A$3:$A$3000,"&gt;="&amp;DATE(2019,12,1),'DATA INPUT'!$A$3:$A$3000,"&lt;"&amp;DATE(2019,12,31),'DATA INPUT'!$F$3:$F$3000,"&lt;&gt;*Exclude*"))/(COUNTIFS('DATA INPUT'!$B$3:$B$3000,'Report Tables'!AO$1,'DATA INPUT'!$A$3:$A$3000,"&gt;="&amp;DATE(2019,12,1),'DATA INPUT'!$A$3:$A$3000,"&lt;"&amp;DATE(2019,12,31),'DATA INPUT'!$F$3:$F$3000,"&lt;&gt;*Exclude*")),#N/A))</f>
        <v>#N/A</v>
      </c>
      <c r="AP38" s="117" t="e">
        <f>IF($L$2="Yes",IFERROR((SUMIFS('DATA INPUT'!$E$3:$E$3000,'DATA INPUT'!$B$3:$B$3000,'Report Tables'!AP$1,'DATA INPUT'!$A$3:$A$3000,"&gt;="&amp;DATE(2019,12,1),'DATA INPUT'!$A$3:$A$3000,"&lt;"&amp;DATE(2019,12,31)))/COUNTIFS('DATA INPUT'!$B$3:$B$3000,'Report Tables'!AP$1,'DATA INPUT'!$A$3:$A$3000,"&gt;="&amp;DATE(2019,12,1),'DATA INPUT'!$A$3:$A$3000,"&lt;"&amp;DATE(2019,12,31)),#N/A),IFERROR((SUMIFS('DATA INPUT'!$E$3:$E$3000,'DATA INPUT'!$B$3:$B$3000,'Report Tables'!AP$1,'DATA INPUT'!$A$3:$A$3000,"&gt;="&amp;DATE(2019,12,1),'DATA INPUT'!$A$3:$A$3000,"&lt;"&amp;DATE(2019,12,31),'DATA INPUT'!$F$3:$F$3000,"&lt;&gt;*Exclude*"))/(COUNTIFS('DATA INPUT'!$B$3:$B$3000,'Report Tables'!AP$1,'DATA INPUT'!$A$3:$A$3000,"&gt;="&amp;DATE(2019,12,1),'DATA INPUT'!$A$3:$A$3000,"&lt;"&amp;DATE(2019,12,31),'DATA INPUT'!$F$3:$F$3000,"&lt;&gt;*Exclude*")),#N/A))</f>
        <v>#N/A</v>
      </c>
      <c r="AQ38" s="117" t="e">
        <f>IF($L$2="Yes",IFERROR((SUMIFS('DATA INPUT'!$E$3:$E$3000,'DATA INPUT'!$B$3:$B$3000,'Report Tables'!AQ$1,'DATA INPUT'!$A$3:$A$3000,"&gt;="&amp;DATE(2019,12,1),'DATA INPUT'!$A$3:$A$3000,"&lt;"&amp;DATE(2019,12,31)))/COUNTIFS('DATA INPUT'!$B$3:$B$3000,'Report Tables'!AQ$1,'DATA INPUT'!$A$3:$A$3000,"&gt;="&amp;DATE(2019,12,1),'DATA INPUT'!$A$3:$A$3000,"&lt;"&amp;DATE(2019,12,31)),#N/A),IFERROR((SUMIFS('DATA INPUT'!$E$3:$E$3000,'DATA INPUT'!$B$3:$B$3000,'Report Tables'!AQ$1,'DATA INPUT'!$A$3:$A$3000,"&gt;="&amp;DATE(2019,12,1),'DATA INPUT'!$A$3:$A$3000,"&lt;"&amp;DATE(2019,12,31),'DATA INPUT'!$F$3:$F$3000,"&lt;&gt;*Exclude*"))/(COUNTIFS('DATA INPUT'!$B$3:$B$3000,'Report Tables'!AQ$1,'DATA INPUT'!$A$3:$A$3000,"&gt;="&amp;DATE(2019,12,1),'DATA INPUT'!$A$3:$A$3000,"&lt;"&amp;DATE(2019,12,31),'DATA INPUT'!$F$3:$F$3000,"&lt;&gt;*Exclude*")),#N/A))</f>
        <v>#N/A</v>
      </c>
      <c r="AR38" s="117" t="e">
        <f>IF($L$2="Yes",IFERROR((SUMIFS('DATA INPUT'!$E$3:$E$3000,'DATA INPUT'!$B$3:$B$3000,'Report Tables'!AR$1,'DATA INPUT'!$A$3:$A$3000,"&gt;="&amp;DATE(2019,12,1),'DATA INPUT'!$A$3:$A$3000,"&lt;"&amp;DATE(2019,12,31)))/COUNTIFS('DATA INPUT'!$B$3:$B$3000,'Report Tables'!AR$1,'DATA INPUT'!$A$3:$A$3000,"&gt;="&amp;DATE(2019,12,1),'DATA INPUT'!$A$3:$A$3000,"&lt;"&amp;DATE(2019,12,31)),#N/A),IFERROR((SUMIFS('DATA INPUT'!$E$3:$E$3000,'DATA INPUT'!$B$3:$B$3000,'Report Tables'!AR$1,'DATA INPUT'!$A$3:$A$3000,"&gt;="&amp;DATE(2019,12,1),'DATA INPUT'!$A$3:$A$3000,"&lt;"&amp;DATE(2019,12,31),'DATA INPUT'!$F$3:$F$3000,"&lt;&gt;*Exclude*"))/(COUNTIFS('DATA INPUT'!$B$3:$B$3000,'Report Tables'!AR$1,'DATA INPUT'!$A$3:$A$3000,"&gt;="&amp;DATE(2019,12,1),'DATA INPUT'!$A$3:$A$3000,"&lt;"&amp;DATE(2019,12,31),'DATA INPUT'!$F$3:$F$3000,"&lt;&gt;*Exclude*")),#N/A))</f>
        <v>#N/A</v>
      </c>
      <c r="AS38" s="117" t="e">
        <f>IF($L$2="Yes",IFERROR((SUMIFS('DATA INPUT'!$E$3:$E$3000,'DATA INPUT'!$B$3:$B$3000,'Report Tables'!AS$1,'DATA INPUT'!$A$3:$A$3000,"&gt;="&amp;DATE(2019,12,1),'DATA INPUT'!$A$3:$A$3000,"&lt;"&amp;DATE(2019,12,31)))/COUNTIFS('DATA INPUT'!$B$3:$B$3000,'Report Tables'!AS$1,'DATA INPUT'!$A$3:$A$3000,"&gt;="&amp;DATE(2019,12,1),'DATA INPUT'!$A$3:$A$3000,"&lt;"&amp;DATE(2019,12,31)),#N/A),IFERROR((SUMIFS('DATA INPUT'!$E$3:$E$3000,'DATA INPUT'!$B$3:$B$3000,'Report Tables'!AS$1,'DATA INPUT'!$A$3:$A$3000,"&gt;="&amp;DATE(2019,12,1),'DATA INPUT'!$A$3:$A$3000,"&lt;"&amp;DATE(2019,12,31),'DATA INPUT'!$F$3:$F$3000,"&lt;&gt;*Exclude*"))/(COUNTIFS('DATA INPUT'!$B$3:$B$3000,'Report Tables'!AS$1,'DATA INPUT'!$A$3:$A$3000,"&gt;="&amp;DATE(2019,12,1),'DATA INPUT'!$A$3:$A$3000,"&lt;"&amp;DATE(2019,12,31),'DATA INPUT'!$F$3:$F$3000,"&lt;&gt;*Exclude*")),#N/A))</f>
        <v>#N/A</v>
      </c>
      <c r="AT38" s="117" t="e">
        <f>IF($L$2="Yes",IFERROR((SUMIFS('DATA INPUT'!$E$3:$E$3000,'DATA INPUT'!$B$3:$B$3000,'Report Tables'!AT$1,'DATA INPUT'!$A$3:$A$3000,"&gt;="&amp;DATE(2019,12,1),'DATA INPUT'!$A$3:$A$3000,"&lt;"&amp;DATE(2019,12,31)))/COUNTIFS('DATA INPUT'!$B$3:$B$3000,'Report Tables'!AT$1,'DATA INPUT'!$A$3:$A$3000,"&gt;="&amp;DATE(2019,12,1),'DATA INPUT'!$A$3:$A$3000,"&lt;"&amp;DATE(2019,12,31)),#N/A),IFERROR((SUMIFS('DATA INPUT'!$E$3:$E$3000,'DATA INPUT'!$B$3:$B$3000,'Report Tables'!AT$1,'DATA INPUT'!$A$3:$A$3000,"&gt;="&amp;DATE(2019,12,1),'DATA INPUT'!$A$3:$A$3000,"&lt;"&amp;DATE(2019,12,31),'DATA INPUT'!$F$3:$F$3000,"&lt;&gt;*Exclude*"))/(COUNTIFS('DATA INPUT'!$B$3:$B$3000,'Report Tables'!AT$1,'DATA INPUT'!$A$3:$A$3000,"&gt;="&amp;DATE(2019,12,1),'DATA INPUT'!$A$3:$A$3000,"&lt;"&amp;DATE(2019,12,31),'DATA INPUT'!$F$3:$F$3000,"&lt;&gt;*Exclude*")),#N/A))</f>
        <v>#N/A</v>
      </c>
      <c r="AU38" s="117" t="e">
        <f t="shared" si="1"/>
        <v>#N/A</v>
      </c>
      <c r="AV38" s="117" t="e">
        <f>IF($L$2="Yes",IFERROR((SUMIFS('DATA INPUT'!$D$3:$D$3000,'DATA INPUT'!$A$3:$A$3000,"&gt;="&amp;DATE(2019,12,1),'DATA INPUT'!$A$3:$A$3000,"&lt;"&amp;DATE(2019,12,31),'DATA INPUT'!$G$3:$G$3000,"&lt;&gt;*School service*"))/COUNTIFS('DATA INPUT'!$A$3:$A$3000,"&gt;="&amp;DATE(2019,12,1),'DATA INPUT'!$A$3:$A$3000,"&lt;"&amp;DATE(2019,12,31),'DATA INPUT'!$G$3:$G$3000,"&lt;&gt;*School service*",'DATA INPUT'!$D$3:$D$3000,"&lt;&gt;"&amp;""),#N/A),IFERROR((SUMIFS('DATA INPUT'!$D$3:$D$3000,'DATA INPUT'!$A$3:$A$3000,"&gt;="&amp;DATE(2019,12,1),'DATA INPUT'!$A$3:$A$3000,"&lt;"&amp;DATE(2019,12,31),'DATA INPUT'!$F$3:$F$3000,"&lt;&gt;*Exclude*",'DATA INPUT'!$G$3:$G$3000,"&lt;&gt;*School service*"))/(COUNTIFS('DATA INPUT'!$A$3:$A$3000,"&gt;="&amp;DATE(2019,12,1),'DATA INPUT'!$A$3:$A$3000,"&lt;"&amp;DATE(2019,12,31),'DATA INPUT'!$F$3:$F$3000,"&lt;&gt;*Exclude*",'DATA INPUT'!$G$3:$G$3000,"&lt;&gt;*School service*",'DATA INPUT'!$D$3:$D$3000,"&lt;&gt;"&amp;"")),#N/A))</f>
        <v>#N/A</v>
      </c>
      <c r="AW38" s="117" t="e">
        <f t="shared" si="2"/>
        <v>#N/A</v>
      </c>
      <c r="AX38" s="117" t="e">
        <f>IF($L$2="Yes",IFERROR((SUMIFS('DATA INPUT'!$E$3:$E$3000,'DATA INPUT'!$B$3:$B$3000,'Report Tables'!AX$1,'DATA INPUT'!$A$3:$A$3000,"&gt;="&amp;DATE(2019,12,1),'DATA INPUT'!$A$3:$A$3000,"&lt;"&amp;DATE(2019,12,31)))/COUNTIFS('DATA INPUT'!$B$3:$B$3000,'Report Tables'!AX$1,'DATA INPUT'!$A$3:$A$3000,"&gt;="&amp;DATE(2019,12,1),'DATA INPUT'!$A$3:$A$3000,"&lt;"&amp;DATE(2019,12,31)),#N/A),IFERROR((SUMIFS('DATA INPUT'!$E$3:$E$3000,'DATA INPUT'!$B$3:$B$3000,'Report Tables'!AX$1,'DATA INPUT'!$A$3:$A$3000,"&gt;="&amp;DATE(2019,12,1),'DATA INPUT'!$A$3:$A$3000,"&lt;"&amp;DATE(2019,12,31),'DATA INPUT'!$F$3:$F$3000,"&lt;&gt;*Exclude*"))/(COUNTIFS('DATA INPUT'!$B$3:$B$3000,'Report Tables'!AX$1,'DATA INPUT'!$A$3:$A$3000,"&gt;="&amp;DATE(2019,12,1),'DATA INPUT'!$A$3:$A$3000,"&lt;"&amp;DATE(2019,12,31),'DATA INPUT'!$F$3:$F$3000,"&lt;&gt;*Exclude*")),#N/A))</f>
        <v>#N/A</v>
      </c>
      <c r="AY38" s="117" t="e">
        <f>IF($L$2="Yes",IFERROR((SUMIFS('DATA INPUT'!$D$3:$D$3000,'DATA INPUT'!$B$3:$B$3000,'Report Tables'!AX$1,'DATA INPUT'!$A$3:$A$3000,"&gt;="&amp;DATE(2019,12,1),'DATA INPUT'!$A$3:$A$3000,"&lt;"&amp;DATE(2019,12,31)))/COUNTIFS('DATA INPUT'!$B$3:$B$3000,'Report Tables'!AX$1,'DATA INPUT'!$A$3:$A$3000,"&gt;="&amp;DATE(2019,12,1),'DATA INPUT'!$A$3:$A$3000,"&lt;"&amp;DATE(2019,12,31)),#N/A),IFERROR((SUMIFS('DATA INPUT'!$D$3:$D$3000,'DATA INPUT'!$B$3:$B$3000,'Report Tables'!AX$1,'DATA INPUT'!$A$3:$A$3000,"&gt;="&amp;DATE(2019,12,1),'DATA INPUT'!$A$3:$A$3000,"&lt;"&amp;DATE(2019,12,31),'DATA INPUT'!$F$3:$F$3000,"&lt;&gt;*Exclude*"))/(COUNTIFS('DATA INPUT'!$B$3:$B$3000,'Report Tables'!AX$1,'DATA INPUT'!$A$3:$A$3000,"&gt;="&amp;DATE(2019,12,1),'DATA INPUT'!$A$3:$A$3000,"&lt;"&amp;DATE(2019,12,31),'DATA INPUT'!$F$3:$F$3000,"&lt;&gt;*Exclude*")),#N/A))</f>
        <v>#N/A</v>
      </c>
      <c r="AZ38" s="117" t="e">
        <f>IF($L$2="Yes",IFERROR((SUMIFS('DATA INPUT'!$C$3:$C$3000,'DATA INPUT'!$B$3:$B$3000,'Report Tables'!AX$1,'DATA INPUT'!$A$3:$A$3000,"&gt;="&amp;DATE(2019,12,1),'DATA INPUT'!$A$3:$A$3000,"&lt;"&amp;DATE(2019,12,31)))/COUNTIFS('DATA INPUT'!$B$3:$B$3000,'Report Tables'!AX$1,'DATA INPUT'!$A$3:$A$3000,"&gt;="&amp;DATE(2019,12,1),'DATA INPUT'!$A$3:$A$3000,"&lt;"&amp;DATE(2019,12,31)),#N/A),IFERROR((SUMIFS('DATA INPUT'!$C$3:$C$3000,'DATA INPUT'!$B$3:$B$3000,'Report Tables'!AX$1,'DATA INPUT'!$A$3:$A$3000,"&gt;="&amp;DATE(2019,12,1),'DATA INPUT'!$A$3:$A$3000,"&lt;"&amp;DATE(2019,12,31),'DATA INPUT'!$F$3:$F$3000,"&lt;&gt;*Exclude*"))/(COUNTIFS('DATA INPUT'!$B$3:$B$3000,'Report Tables'!AX$1,'DATA INPUT'!$A$3:$A$3000,"&gt;="&amp;DATE(2019,12,1),'DATA INPUT'!$A$3:$A$3000,"&lt;"&amp;DATE(2019,12,31),'DATA INPUT'!$F$3:$F$3000,"&lt;&gt;*Exclude*")),#N/A))</f>
        <v>#N/A</v>
      </c>
    </row>
    <row r="39" spans="1:52" x14ac:dyDescent="0.3">
      <c r="C39" s="93"/>
      <c r="D39" s="93"/>
      <c r="E39" s="93"/>
      <c r="F39" s="93"/>
      <c r="G39" s="93"/>
      <c r="H39" s="93"/>
      <c r="I39" s="93"/>
      <c r="J39" s="93"/>
      <c r="K39" s="93"/>
      <c r="L39" s="93"/>
      <c r="Y39" s="149">
        <v>2020</v>
      </c>
      <c r="Z39" s="149" t="s">
        <v>12</v>
      </c>
      <c r="AA39" s="136" t="e">
        <f>IF($L$2="Yes",IF(SUMIFS('DATA INPUT'!$E$3:$E$3000,'DATA INPUT'!$B$3:$B$3000,'Report Tables'!AA$1,'DATA INPUT'!$A$3:$A$3000,"&gt;="&amp;DATE(2020,1,1),'DATA INPUT'!$A$3:$A$3000,"&lt;"&amp;DATE(2020,1,31))=0,#N/A,(SUMIFS('DATA INPUT'!$E$3:$E$3000,'DATA INPUT'!$B$3:$B$3000,'Report Tables'!AA$1,'DATA INPUT'!$A$3:$A$3000,"&gt;="&amp;DATE(2020,1,1),'DATA INPUT'!$A$3:$A$3000,"&lt;"&amp;DATE(2020,1,31)))),IF(SUMIFS('DATA INPUT'!$E$3:$E$3000,'DATA INPUT'!$B$3:$B$3000,'Report Tables'!AA$1,'DATA INPUT'!$A$3:$A$3000,"&gt;="&amp;DATE(2020,1,1),'DATA INPUT'!$A$3:$A$3000,"&lt;"&amp;DATE(2020,1,31),'DATA INPUT'!$F$3:$F$3000,"&lt;&gt;*Exclude*")=0,#N/A,(SUMIFS('DATA INPUT'!$E$3:$E$3000,'DATA INPUT'!$B$3:$B$3000,'Report Tables'!AA$1,'DATA INPUT'!$A$3:$A$3000,"&gt;="&amp;DATE(2020,1,1),'DATA INPUT'!$A$3:$A$3000,"&lt;"&amp;DATE(2020,1,31),'DATA INPUT'!$F$3:$F$3000,"&lt;&gt;*Exclude*"))))</f>
        <v>#N/A</v>
      </c>
      <c r="AB39" s="136" t="e">
        <f>IF($L$2="Yes",IF(SUMIFS('DATA INPUT'!$E$3:$E$3000,'DATA INPUT'!$B$3:$B$3000,'Report Tables'!AB$1,'DATA INPUT'!$A$3:$A$3000,"&gt;="&amp;DATE(2020,1,1),'DATA INPUT'!$A$3:$A$3000,"&lt;"&amp;DATE(2020,1,31))=0,#N/A,(SUMIFS('DATA INPUT'!$E$3:$E$3000,'DATA INPUT'!$B$3:$B$3000,'Report Tables'!AB$1,'DATA INPUT'!$A$3:$A$3000,"&gt;="&amp;DATE(2020,1,1),'DATA INPUT'!$A$3:$A$3000,"&lt;"&amp;DATE(2020,1,31)))),IF(SUMIFS('DATA INPUT'!$E$3:$E$3000,'DATA INPUT'!$B$3:$B$3000,'Report Tables'!AB$1,'DATA INPUT'!$A$3:$A$3000,"&gt;="&amp;DATE(2020,1,1),'DATA INPUT'!$A$3:$A$3000,"&lt;"&amp;DATE(2020,1,31),'DATA INPUT'!$F$3:$F$3000,"&lt;&gt;*Exclude*")=0,#N/A,(SUMIFS('DATA INPUT'!$E$3:$E$3000,'DATA INPUT'!$B$3:$B$3000,'Report Tables'!AB$1,'DATA INPUT'!$A$3:$A$3000,"&gt;="&amp;DATE(2020,1,1),'DATA INPUT'!$A$3:$A$3000,"&lt;"&amp;DATE(2020,1,31),'DATA INPUT'!$F$3:$F$3000,"&lt;&gt;*Exclude*"))))</f>
        <v>#N/A</v>
      </c>
      <c r="AC39" s="136" t="e">
        <f>IF($L$2="Yes",IF(SUMIFS('DATA INPUT'!$E$3:$E$3000,'DATA INPUT'!$B$3:$B$3000,'Report Tables'!AC$1,'DATA INPUT'!$A$3:$A$3000,"&gt;="&amp;DATE(2020,1,1),'DATA INPUT'!$A$3:$A$3000,"&lt;"&amp;DATE(2020,1,31))=0,#N/A,(SUMIFS('DATA INPUT'!$E$3:$E$3000,'DATA INPUT'!$B$3:$B$3000,'Report Tables'!AC$1,'DATA INPUT'!$A$3:$A$3000,"&gt;="&amp;DATE(2020,1,1),'DATA INPUT'!$A$3:$A$3000,"&lt;"&amp;DATE(2020,1,31)))),IF(SUMIFS('DATA INPUT'!$E$3:$E$3000,'DATA INPUT'!$B$3:$B$3000,'Report Tables'!AC$1,'DATA INPUT'!$A$3:$A$3000,"&gt;="&amp;DATE(2020,1,1),'DATA INPUT'!$A$3:$A$3000,"&lt;"&amp;DATE(2020,1,31),'DATA INPUT'!$F$3:$F$3000,"&lt;&gt;*Exclude*")=0,#N/A,(SUMIFS('DATA INPUT'!$E$3:$E$3000,'DATA INPUT'!$B$3:$B$3000,'Report Tables'!AC$1,'DATA INPUT'!$A$3:$A$3000,"&gt;="&amp;DATE(2020,1,1),'DATA INPUT'!$A$3:$A$3000,"&lt;"&amp;DATE(2020,1,31),'DATA INPUT'!$F$3:$F$3000,"&lt;&gt;*Exclude*"))))</f>
        <v>#N/A</v>
      </c>
      <c r="AD39" s="136" t="e">
        <f>IF($L$2="Yes",IF(SUMIFS('DATA INPUT'!$E$3:$E$3000,'DATA INPUT'!$B$3:$B$3000,'Report Tables'!AD$1,'DATA INPUT'!$A$3:$A$3000,"&gt;="&amp;DATE(2020,1,1),'DATA INPUT'!$A$3:$A$3000,"&lt;"&amp;DATE(2020,1,31))=0,#N/A,(SUMIFS('DATA INPUT'!$E$3:$E$3000,'DATA INPUT'!$B$3:$B$3000,'Report Tables'!AD$1,'DATA INPUT'!$A$3:$A$3000,"&gt;="&amp;DATE(2020,1,1),'DATA INPUT'!$A$3:$A$3000,"&lt;"&amp;DATE(2020,1,31)))),IF(SUMIFS('DATA INPUT'!$E$3:$E$3000,'DATA INPUT'!$B$3:$B$3000,'Report Tables'!AD$1,'DATA INPUT'!$A$3:$A$3000,"&gt;="&amp;DATE(2020,1,1),'DATA INPUT'!$A$3:$A$3000,"&lt;"&amp;DATE(2020,1,31),'DATA INPUT'!$F$3:$F$3000,"&lt;&gt;*Exclude*")=0,#N/A,(SUMIFS('DATA INPUT'!$E$3:$E$3000,'DATA INPUT'!$B$3:$B$3000,'Report Tables'!AD$1,'DATA INPUT'!$A$3:$A$3000,"&gt;="&amp;DATE(2020,1,1),'DATA INPUT'!$A$3:$A$3000,"&lt;"&amp;DATE(2020,1,31),'DATA INPUT'!$F$3:$F$3000,"&lt;&gt;*Exclude*"))))</f>
        <v>#N/A</v>
      </c>
      <c r="AE39" s="136" t="e">
        <f>IF($L$2="Yes",IF(SUMIFS('DATA INPUT'!$E$3:$E$3000,'DATA INPUT'!$B$3:$B$3000,'Report Tables'!AE$1,'DATA INPUT'!$A$3:$A$3000,"&gt;="&amp;DATE(2020,1,1),'DATA INPUT'!$A$3:$A$3000,"&lt;"&amp;DATE(2020,1,31))=0,#N/A,(SUMIFS('DATA INPUT'!$E$3:$E$3000,'DATA INPUT'!$B$3:$B$3000,'Report Tables'!AE$1,'DATA INPUT'!$A$3:$A$3000,"&gt;="&amp;DATE(2020,1,1),'DATA INPUT'!$A$3:$A$3000,"&lt;"&amp;DATE(2020,1,31)))),IF(SUMIFS('DATA INPUT'!$E$3:$E$3000,'DATA INPUT'!$B$3:$B$3000,'Report Tables'!AE$1,'DATA INPUT'!$A$3:$A$3000,"&gt;="&amp;DATE(2020,1,1),'DATA INPUT'!$A$3:$A$3000,"&lt;"&amp;DATE(2020,1,31),'DATA INPUT'!$F$3:$F$3000,"&lt;&gt;*Exclude*")=0,#N/A,(SUMIFS('DATA INPUT'!$E$3:$E$3000,'DATA INPUT'!$B$3:$B$3000,'Report Tables'!AE$1,'DATA INPUT'!$A$3:$A$3000,"&gt;="&amp;DATE(2020,1,1),'DATA INPUT'!$A$3:$A$3000,"&lt;"&amp;DATE(2020,1,31),'DATA INPUT'!$F$3:$F$3000,"&lt;&gt;*Exclude*"))))</f>
        <v>#N/A</v>
      </c>
      <c r="AF39" s="136" t="e">
        <f>IF($L$2="Yes",IF(SUMIFS('DATA INPUT'!$E$3:$E$3000,'DATA INPUT'!$B$3:$B$3000,'Report Tables'!AF$1,'DATA INPUT'!$A$3:$A$3000,"&gt;="&amp;DATE(2020,1,1),'DATA INPUT'!$A$3:$A$3000,"&lt;"&amp;DATE(2020,1,31))=0,#N/A,(SUMIFS('DATA INPUT'!$E$3:$E$3000,'DATA INPUT'!$B$3:$B$3000,'Report Tables'!AF$1,'DATA INPUT'!$A$3:$A$3000,"&gt;="&amp;DATE(2020,1,1),'DATA INPUT'!$A$3:$A$3000,"&lt;"&amp;DATE(2020,1,31)))),IF(SUMIFS('DATA INPUT'!$E$3:$E$3000,'DATA INPUT'!$B$3:$B$3000,'Report Tables'!AF$1,'DATA INPUT'!$A$3:$A$3000,"&gt;="&amp;DATE(2020,1,1),'DATA INPUT'!$A$3:$A$3000,"&lt;"&amp;DATE(2020,1,31),'DATA INPUT'!$F$3:$F$3000,"&lt;&gt;*Exclude*")=0,#N/A,(SUMIFS('DATA INPUT'!$E$3:$E$3000,'DATA INPUT'!$B$3:$B$3000,'Report Tables'!AF$1,'DATA INPUT'!$A$3:$A$3000,"&gt;="&amp;DATE(2020,1,1),'DATA INPUT'!$A$3:$A$3000,"&lt;"&amp;DATE(2020,1,31),'DATA INPUT'!$F$3:$F$3000,"&lt;&gt;*Exclude*"))))</f>
        <v>#N/A</v>
      </c>
      <c r="AG39" s="136" t="e">
        <f>IF($L$2="Yes",IF(SUMIFS('DATA INPUT'!$E$3:$E$3000,'DATA INPUT'!$B$3:$B$3000,'Report Tables'!AG$1,'DATA INPUT'!$A$3:$A$3000,"&gt;="&amp;DATE(2020,1,1),'DATA INPUT'!$A$3:$A$3000,"&lt;"&amp;DATE(2020,1,31))=0,#N/A,(SUMIFS('DATA INPUT'!$E$3:$E$3000,'DATA INPUT'!$B$3:$B$3000,'Report Tables'!AG$1,'DATA INPUT'!$A$3:$A$3000,"&gt;="&amp;DATE(2020,1,1),'DATA INPUT'!$A$3:$A$3000,"&lt;"&amp;DATE(2020,1,31)))),IF(SUMIFS('DATA INPUT'!$E$3:$E$3000,'DATA INPUT'!$B$3:$B$3000,'Report Tables'!AG$1,'DATA INPUT'!$A$3:$A$3000,"&gt;="&amp;DATE(2020,1,1),'DATA INPUT'!$A$3:$A$3000,"&lt;"&amp;DATE(2020,1,31),'DATA INPUT'!$F$3:$F$3000,"&lt;&gt;*Exclude*")=0,#N/A,(SUMIFS('DATA INPUT'!$E$3:$E$3000,'DATA INPUT'!$B$3:$B$3000,'Report Tables'!AG$1,'DATA INPUT'!$A$3:$A$3000,"&gt;="&amp;DATE(2020,1,1),'DATA INPUT'!$A$3:$A$3000,"&lt;"&amp;DATE(2020,1,31),'DATA INPUT'!$F$3:$F$3000,"&lt;&gt;*Exclude*"))))</f>
        <v>#N/A</v>
      </c>
      <c r="AH39" s="136" t="e">
        <f>IF($L$2="Yes",IF(SUMIFS('DATA INPUT'!$E$3:$E$3000,'DATA INPUT'!$B$3:$B$3000,'Report Tables'!AH$1,'DATA INPUT'!$A$3:$A$3000,"&gt;="&amp;DATE(2020,1,1),'DATA INPUT'!$A$3:$A$3000,"&lt;"&amp;DATE(2020,1,31))=0,#N/A,(SUMIFS('DATA INPUT'!$E$3:$E$3000,'DATA INPUT'!$B$3:$B$3000,'Report Tables'!AH$1,'DATA INPUT'!$A$3:$A$3000,"&gt;="&amp;DATE(2020,1,1),'DATA INPUT'!$A$3:$A$3000,"&lt;"&amp;DATE(2020,1,31)))),IF(SUMIFS('DATA INPUT'!$E$3:$E$3000,'DATA INPUT'!$B$3:$B$3000,'Report Tables'!AH$1,'DATA INPUT'!$A$3:$A$3000,"&gt;="&amp;DATE(2020,1,1),'DATA INPUT'!$A$3:$A$3000,"&lt;"&amp;DATE(2020,1,31),'DATA INPUT'!$F$3:$F$3000,"&lt;&gt;*Exclude*")=0,#N/A,(SUMIFS('DATA INPUT'!$E$3:$E$3000,'DATA INPUT'!$B$3:$B$3000,'Report Tables'!AH$1,'DATA INPUT'!$A$3:$A$3000,"&gt;="&amp;DATE(2020,1,1),'DATA INPUT'!$A$3:$A$3000,"&lt;"&amp;DATE(2020,1,31),'DATA INPUT'!$F$3:$F$3000,"&lt;&gt;*Exclude*"))))</f>
        <v>#N/A</v>
      </c>
      <c r="AI39" s="136" t="e">
        <f t="shared" si="0"/>
        <v>#N/A</v>
      </c>
      <c r="AJ39" s="136" t="e">
        <f>IF($L$2="Yes",IF(SUMIFS('DATA INPUT'!$D$3:$D$3000,'DATA INPUT'!$A$3:$A$3000,"&gt;="&amp;DATE(2020,1,1),'DATA INPUT'!$A$3:$A$3000,"&lt;"&amp;DATE(2020,1,31),'DATA INPUT'!$G$3:$G$3000,"&lt;&gt;*School service*")=0,#N/A,(SUMIFS('DATA INPUT'!$D$3:$D$3000,'DATA INPUT'!$A$3:$A$3000,"&gt;="&amp;DATE(2020,1,1),'DATA INPUT'!$A$3:$A$3000,"&lt;"&amp;DATE(2020,1,31),'DATA INPUT'!$G$3:$G$3000,"&lt;&gt;*School service*"))),IF(SUMIFS('DATA INPUT'!$D$3:$D$3000,'DATA INPUT'!$A$3:$A$3000,"&gt;="&amp;DATE(2020,1,1),'DATA INPUT'!$A$3:$A$3000,"&lt;"&amp;DATE(2020,1,31),'DATA INPUT'!$F$3:$F$3000,"&lt;&gt;*Exclude*",'DATA INPUT'!$G$3:$G$3000,"&lt;&gt;*School service*")=0,#N/A,(SUMIFS('DATA INPUT'!$D$3:$D$3000,'DATA INPUT'!$A$3:$A$3000,"&gt;="&amp;DATE(2020,1,1),'DATA INPUT'!$A$3:$A$3000,"&lt;"&amp;DATE(2020,1,31),'DATA INPUT'!$F$3:$F$3000,"&lt;&gt;*Exclude*",'DATA INPUT'!$G$3:$G$3000,"&lt;&gt;*School service*"))))</f>
        <v>#N/A</v>
      </c>
      <c r="AK39" s="136" t="e">
        <f>AI39-AJ39</f>
        <v>#N/A</v>
      </c>
      <c r="AM39" s="117" t="e">
        <f>IF($L$2="Yes",IFERROR((SUMIFS('DATA INPUT'!$E$3:$E$3000,'DATA INPUT'!$B$3:$B$3000,'Report Tables'!AM$1,'DATA INPUT'!$A$3:$A$3000,"&gt;="&amp;DATE(2020,1,1),'DATA INPUT'!$A$3:$A$3000,"&lt;"&amp;DATE(2020,1,31)))/COUNTIFS('DATA INPUT'!$B$3:$B$3000,'Report Tables'!AM$1,'DATA INPUT'!$A$3:$A$3000,"&gt;="&amp;DATE(2020,1,1),'DATA INPUT'!$A$3:$A$3000,"&lt;"&amp;DATE(2020,1,31)),#N/A),IFERROR((SUMIFS('DATA INPUT'!$E$3:$E$3000,'DATA INPUT'!$B$3:$B$3000,'Report Tables'!AM$1,'DATA INPUT'!$A$3:$A$3000,"&gt;="&amp;DATE(2020,1,1),'DATA INPUT'!$A$3:$A$3000,"&lt;"&amp;DATE(2020,1,31),'DATA INPUT'!$F$3:$F$3000,"&lt;&gt;*Exclude*"))/(COUNTIFS('DATA INPUT'!$B$3:$B$3000,'Report Tables'!AM$1,'DATA INPUT'!$A$3:$A$3000,"&gt;="&amp;DATE(2020,1,1),'DATA INPUT'!$A$3:$A$3000,"&lt;"&amp;DATE(2020,1,31),'DATA INPUT'!$F$3:$F$3000,"&lt;&gt;*Exclude*")),#N/A))</f>
        <v>#N/A</v>
      </c>
      <c r="AN39" s="117" t="e">
        <f>IF($L$2="Yes",IFERROR((SUMIFS('DATA INPUT'!$E$3:$E$3000,'DATA INPUT'!$B$3:$B$3000,'Report Tables'!AN$1,'DATA INPUT'!$A$3:$A$3000,"&gt;="&amp;DATE(2020,1,1),'DATA INPUT'!$A$3:$A$3000,"&lt;"&amp;DATE(2020,1,31)))/COUNTIFS('DATA INPUT'!$B$3:$B$3000,'Report Tables'!AN$1,'DATA INPUT'!$A$3:$A$3000,"&gt;="&amp;DATE(2020,1,1),'DATA INPUT'!$A$3:$A$3000,"&lt;"&amp;DATE(2020,1,31)),#N/A),IFERROR((SUMIFS('DATA INPUT'!$E$3:$E$3000,'DATA INPUT'!$B$3:$B$3000,'Report Tables'!AN$1,'DATA INPUT'!$A$3:$A$3000,"&gt;="&amp;DATE(2020,1,1),'DATA INPUT'!$A$3:$A$3000,"&lt;"&amp;DATE(2020,1,31),'DATA INPUT'!$F$3:$F$3000,"&lt;&gt;*Exclude*"))/(COUNTIFS('DATA INPUT'!$B$3:$B$3000,'Report Tables'!AN$1,'DATA INPUT'!$A$3:$A$3000,"&gt;="&amp;DATE(2020,1,1),'DATA INPUT'!$A$3:$A$3000,"&lt;"&amp;DATE(2020,1,31),'DATA INPUT'!$F$3:$F$3000,"&lt;&gt;*Exclude*")),#N/A))</f>
        <v>#N/A</v>
      </c>
      <c r="AO39" s="117" t="e">
        <f>IF($L$2="Yes",IFERROR((SUMIFS('DATA INPUT'!$E$3:$E$3000,'DATA INPUT'!$B$3:$B$3000,'Report Tables'!AO$1,'DATA INPUT'!$A$3:$A$3000,"&gt;="&amp;DATE(2020,1,1),'DATA INPUT'!$A$3:$A$3000,"&lt;"&amp;DATE(2020,1,31)))/COUNTIFS('DATA INPUT'!$B$3:$B$3000,'Report Tables'!AO$1,'DATA INPUT'!$A$3:$A$3000,"&gt;="&amp;DATE(2020,1,1),'DATA INPUT'!$A$3:$A$3000,"&lt;"&amp;DATE(2020,1,31)),#N/A),IFERROR((SUMIFS('DATA INPUT'!$E$3:$E$3000,'DATA INPUT'!$B$3:$B$3000,'Report Tables'!AO$1,'DATA INPUT'!$A$3:$A$3000,"&gt;="&amp;DATE(2020,1,1),'DATA INPUT'!$A$3:$A$3000,"&lt;"&amp;DATE(2020,1,31),'DATA INPUT'!$F$3:$F$3000,"&lt;&gt;*Exclude*"))/(COUNTIFS('DATA INPUT'!$B$3:$B$3000,'Report Tables'!AO$1,'DATA INPUT'!$A$3:$A$3000,"&gt;="&amp;DATE(2020,1,1),'DATA INPUT'!$A$3:$A$3000,"&lt;"&amp;DATE(2020,1,31),'DATA INPUT'!$F$3:$F$3000,"&lt;&gt;*Exclude*")),#N/A))</f>
        <v>#N/A</v>
      </c>
      <c r="AP39" s="117" t="e">
        <f>IF($L$2="Yes",IFERROR((SUMIFS('DATA INPUT'!$E$3:$E$3000,'DATA INPUT'!$B$3:$B$3000,'Report Tables'!AP$1,'DATA INPUT'!$A$3:$A$3000,"&gt;="&amp;DATE(2020,1,1),'DATA INPUT'!$A$3:$A$3000,"&lt;"&amp;DATE(2020,1,31)))/COUNTIFS('DATA INPUT'!$B$3:$B$3000,'Report Tables'!AP$1,'DATA INPUT'!$A$3:$A$3000,"&gt;="&amp;DATE(2020,1,1),'DATA INPUT'!$A$3:$A$3000,"&lt;"&amp;DATE(2020,1,31)),#N/A),IFERROR((SUMIFS('DATA INPUT'!$E$3:$E$3000,'DATA INPUT'!$B$3:$B$3000,'Report Tables'!AP$1,'DATA INPUT'!$A$3:$A$3000,"&gt;="&amp;DATE(2020,1,1),'DATA INPUT'!$A$3:$A$3000,"&lt;"&amp;DATE(2020,1,31),'DATA INPUT'!$F$3:$F$3000,"&lt;&gt;*Exclude*"))/(COUNTIFS('DATA INPUT'!$B$3:$B$3000,'Report Tables'!AP$1,'DATA INPUT'!$A$3:$A$3000,"&gt;="&amp;DATE(2020,1,1),'DATA INPUT'!$A$3:$A$3000,"&lt;"&amp;DATE(2020,1,31),'DATA INPUT'!$F$3:$F$3000,"&lt;&gt;*Exclude*")),#N/A))</f>
        <v>#N/A</v>
      </c>
      <c r="AQ39" s="117" t="e">
        <f>IF($L$2="Yes",IFERROR((SUMIFS('DATA INPUT'!$E$3:$E$3000,'DATA INPUT'!$B$3:$B$3000,'Report Tables'!AQ$1,'DATA INPUT'!$A$3:$A$3000,"&gt;="&amp;DATE(2020,1,1),'DATA INPUT'!$A$3:$A$3000,"&lt;"&amp;DATE(2020,1,31)))/COUNTIFS('DATA INPUT'!$B$3:$B$3000,'Report Tables'!AQ$1,'DATA INPUT'!$A$3:$A$3000,"&gt;="&amp;DATE(2020,1,1),'DATA INPUT'!$A$3:$A$3000,"&lt;"&amp;DATE(2020,1,31)),#N/A),IFERROR((SUMIFS('DATA INPUT'!$E$3:$E$3000,'DATA INPUT'!$B$3:$B$3000,'Report Tables'!AQ$1,'DATA INPUT'!$A$3:$A$3000,"&gt;="&amp;DATE(2020,1,1),'DATA INPUT'!$A$3:$A$3000,"&lt;"&amp;DATE(2020,1,31),'DATA INPUT'!$F$3:$F$3000,"&lt;&gt;*Exclude*"))/(COUNTIFS('DATA INPUT'!$B$3:$B$3000,'Report Tables'!AQ$1,'DATA INPUT'!$A$3:$A$3000,"&gt;="&amp;DATE(2020,1,1),'DATA INPUT'!$A$3:$A$3000,"&lt;"&amp;DATE(2020,1,31),'DATA INPUT'!$F$3:$F$3000,"&lt;&gt;*Exclude*")),#N/A))</f>
        <v>#N/A</v>
      </c>
      <c r="AR39" s="117" t="e">
        <f>IF($L$2="Yes",IFERROR((SUMIFS('DATA INPUT'!$E$3:$E$3000,'DATA INPUT'!$B$3:$B$3000,'Report Tables'!AR$1,'DATA INPUT'!$A$3:$A$3000,"&gt;="&amp;DATE(2020,1,1),'DATA INPUT'!$A$3:$A$3000,"&lt;"&amp;DATE(2020,1,31)))/COUNTIFS('DATA INPUT'!$B$3:$B$3000,'Report Tables'!AR$1,'DATA INPUT'!$A$3:$A$3000,"&gt;="&amp;DATE(2020,1,1),'DATA INPUT'!$A$3:$A$3000,"&lt;"&amp;DATE(2020,1,31)),#N/A),IFERROR((SUMIFS('DATA INPUT'!$E$3:$E$3000,'DATA INPUT'!$B$3:$B$3000,'Report Tables'!AR$1,'DATA INPUT'!$A$3:$A$3000,"&gt;="&amp;DATE(2020,1,1),'DATA INPUT'!$A$3:$A$3000,"&lt;"&amp;DATE(2020,1,31),'DATA INPUT'!$F$3:$F$3000,"&lt;&gt;*Exclude*"))/(COUNTIFS('DATA INPUT'!$B$3:$B$3000,'Report Tables'!AR$1,'DATA INPUT'!$A$3:$A$3000,"&gt;="&amp;DATE(2020,1,1),'DATA INPUT'!$A$3:$A$3000,"&lt;"&amp;DATE(2020,1,31),'DATA INPUT'!$F$3:$F$3000,"&lt;&gt;*Exclude*")),#N/A))</f>
        <v>#N/A</v>
      </c>
      <c r="AS39" s="117" t="e">
        <f>IF($L$2="Yes",IFERROR((SUMIFS('DATA INPUT'!$E$3:$E$3000,'DATA INPUT'!$B$3:$B$3000,'Report Tables'!AS$1,'DATA INPUT'!$A$3:$A$3000,"&gt;="&amp;DATE(2020,1,1),'DATA INPUT'!$A$3:$A$3000,"&lt;"&amp;DATE(2020,1,31)))/COUNTIFS('DATA INPUT'!$B$3:$B$3000,'Report Tables'!AS$1,'DATA INPUT'!$A$3:$A$3000,"&gt;="&amp;DATE(2020,1,1),'DATA INPUT'!$A$3:$A$3000,"&lt;"&amp;DATE(2020,1,31)),#N/A),IFERROR((SUMIFS('DATA INPUT'!$E$3:$E$3000,'DATA INPUT'!$B$3:$B$3000,'Report Tables'!AS$1,'DATA INPUT'!$A$3:$A$3000,"&gt;="&amp;DATE(2020,1,1),'DATA INPUT'!$A$3:$A$3000,"&lt;"&amp;DATE(2020,1,31),'DATA INPUT'!$F$3:$F$3000,"&lt;&gt;*Exclude*"))/(COUNTIFS('DATA INPUT'!$B$3:$B$3000,'Report Tables'!AS$1,'DATA INPUT'!$A$3:$A$3000,"&gt;="&amp;DATE(2020,1,1),'DATA INPUT'!$A$3:$A$3000,"&lt;"&amp;DATE(2020,1,31),'DATA INPUT'!$F$3:$F$3000,"&lt;&gt;*Exclude*")),#N/A))</f>
        <v>#N/A</v>
      </c>
      <c r="AT39" s="117" t="e">
        <f>IF($L$2="Yes",IFERROR((SUMIFS('DATA INPUT'!$E$3:$E$3000,'DATA INPUT'!$B$3:$B$3000,'Report Tables'!AT$1,'DATA INPUT'!$A$3:$A$3000,"&gt;="&amp;DATE(2020,1,1),'DATA INPUT'!$A$3:$A$3000,"&lt;"&amp;DATE(2020,1,31)))/COUNTIFS('DATA INPUT'!$B$3:$B$3000,'Report Tables'!AT$1,'DATA INPUT'!$A$3:$A$3000,"&gt;="&amp;DATE(2020,1,1),'DATA INPUT'!$A$3:$A$3000,"&lt;"&amp;DATE(2020,1,31)),#N/A),IFERROR((SUMIFS('DATA INPUT'!$E$3:$E$3000,'DATA INPUT'!$B$3:$B$3000,'Report Tables'!AT$1,'DATA INPUT'!$A$3:$A$3000,"&gt;="&amp;DATE(2020,1,1),'DATA INPUT'!$A$3:$A$3000,"&lt;"&amp;DATE(2020,1,31),'DATA INPUT'!$F$3:$F$3000,"&lt;&gt;*Exclude*"))/(COUNTIFS('DATA INPUT'!$B$3:$B$3000,'Report Tables'!AT$1,'DATA INPUT'!$A$3:$A$3000,"&gt;="&amp;DATE(2020,1,1),'DATA INPUT'!$A$3:$A$3000,"&lt;"&amp;DATE(2020,1,31),'DATA INPUT'!$F$3:$F$3000,"&lt;&gt;*Exclude*")),#N/A))</f>
        <v>#N/A</v>
      </c>
      <c r="AU39" s="117" t="e">
        <f t="shared" si="1"/>
        <v>#N/A</v>
      </c>
      <c r="AV39" s="117" t="e">
        <f>IF($L$2="Yes",IFERROR((SUMIFS('DATA INPUT'!$D$3:$D$3000,'DATA INPUT'!$A$3:$A$3000,"&gt;="&amp;DATE(2020,1,1),'DATA INPUT'!$A$3:$A$3000,"&lt;"&amp;DATE(2020,1,31),'DATA INPUT'!$G$3:$G$3000,"&lt;&gt;*School service*"))/COUNTIFS('DATA INPUT'!$A$3:$A$3000,"&gt;="&amp;DATE(2020,1,1),'DATA INPUT'!$A$3:$A$3000,"&lt;"&amp;DATE(2020,1,31),'DATA INPUT'!$G$3:$G$3000,"&lt;&gt;*School service*",'DATA INPUT'!$D$3:$D$3000,"&lt;&gt;"&amp;""),#N/A),IFERROR((SUMIFS('DATA INPUT'!$D$3:$D$3000,'DATA INPUT'!$A$3:$A$3000,"&gt;="&amp;DATE(2020,1,1),'DATA INPUT'!$A$3:$A$3000,"&lt;"&amp;DATE(2020,1,31),'DATA INPUT'!$F$3:$F$3000,"&lt;&gt;*Exclude*",'DATA INPUT'!$G$3:$G$3000,"&lt;&gt;*School service*"))/(COUNTIFS('DATA INPUT'!$A$3:$A$3000,"&gt;="&amp;DATE(2020,1,1),'DATA INPUT'!$A$3:$A$3000,"&lt;"&amp;DATE(2020,1,31),'DATA INPUT'!$F$3:$F$3000,"&lt;&gt;*Exclude*",'DATA INPUT'!$G$3:$G$3000,"&lt;&gt;*School service*",'DATA INPUT'!$D$3:$D$3000,"&lt;&gt;"&amp;"")),#N/A))</f>
        <v>#N/A</v>
      </c>
      <c r="AW39" s="117" t="e">
        <f t="shared" si="2"/>
        <v>#N/A</v>
      </c>
      <c r="AX39" s="117" t="e">
        <f>IF($L$2="Yes",IFERROR((SUMIFS('DATA INPUT'!$E$3:$E$3000,'DATA INPUT'!$B$3:$B$3000,'Report Tables'!AX$1,'DATA INPUT'!$A$3:$A$3000,"&gt;="&amp;DATE(2020,1,1),'DATA INPUT'!$A$3:$A$3000,"&lt;"&amp;DATE(2020,1,31)))/COUNTIFS('DATA INPUT'!$B$3:$B$3000,'Report Tables'!AX$1,'DATA INPUT'!$A$3:$A$3000,"&gt;="&amp;DATE(2020,1,1),'DATA INPUT'!$A$3:$A$3000,"&lt;"&amp;DATE(2020,1,31)),#N/A),IFERROR((SUMIFS('DATA INPUT'!$E$3:$E$3000,'DATA INPUT'!$B$3:$B$3000,'Report Tables'!AX$1,'DATA INPUT'!$A$3:$A$3000,"&gt;="&amp;DATE(2020,1,1),'DATA INPUT'!$A$3:$A$3000,"&lt;"&amp;DATE(2020,1,31),'DATA INPUT'!$F$3:$F$3000,"&lt;&gt;*Exclude*"))/(COUNTIFS('DATA INPUT'!$B$3:$B$3000,'Report Tables'!AX$1,'DATA INPUT'!$A$3:$A$3000,"&gt;="&amp;DATE(2020,1,1),'DATA INPUT'!$A$3:$A$3000,"&lt;"&amp;DATE(2020,1,31),'DATA INPUT'!$F$3:$F$3000,"&lt;&gt;*Exclude*")),#N/A))</f>
        <v>#N/A</v>
      </c>
      <c r="AY39" s="117" t="e">
        <f>IF($L$2="Yes",IFERROR((SUMIFS('DATA INPUT'!$D$3:$D$3000,'DATA INPUT'!$B$3:$B$3000,'Report Tables'!AX$1,'DATA INPUT'!$A$3:$A$3000,"&gt;="&amp;DATE(2020,1,1),'DATA INPUT'!$A$3:$A$3000,"&lt;"&amp;DATE(2020,1,31)))/COUNTIFS('DATA INPUT'!$B$3:$B$3000,'Report Tables'!AX$1,'DATA INPUT'!$A$3:$A$3000,"&gt;="&amp;DATE(2020,1,1),'DATA INPUT'!$A$3:$A$3000,"&lt;"&amp;DATE(2020,1,31)),#N/A),IFERROR((SUMIFS('DATA INPUT'!$D$3:$D$3000,'DATA INPUT'!$B$3:$B$3000,'Report Tables'!AX$1,'DATA INPUT'!$A$3:$A$3000,"&gt;="&amp;DATE(2020,1,1),'DATA INPUT'!$A$3:$A$3000,"&lt;"&amp;DATE(2020,1,31),'DATA INPUT'!$F$3:$F$3000,"&lt;&gt;*Exclude*"))/(COUNTIFS('DATA INPUT'!$B$3:$B$3000,'Report Tables'!AX$1,'DATA INPUT'!$A$3:$A$3000,"&gt;="&amp;DATE(2020,1,1),'DATA INPUT'!$A$3:$A$3000,"&lt;"&amp;DATE(2020,1,31),'DATA INPUT'!$F$3:$F$3000,"&lt;&gt;*Exclude*")),#N/A))</f>
        <v>#N/A</v>
      </c>
      <c r="AZ39" s="117" t="e">
        <f>IF($L$2="Yes",IFERROR((SUMIFS('DATA INPUT'!$C$3:$C$3000,'DATA INPUT'!$B$3:$B$3000,'Report Tables'!AX$1,'DATA INPUT'!$A$3:$A$3000,"&gt;="&amp;DATE(2020,1,1),'DATA INPUT'!$A$3:$A$3000,"&lt;"&amp;DATE(2020,1,31)))/COUNTIFS('DATA INPUT'!$B$3:$B$3000,'Report Tables'!AX$1,'DATA INPUT'!$A$3:$A$3000,"&gt;="&amp;DATE(2020,1,1),'DATA INPUT'!$A$3:$A$3000,"&lt;"&amp;DATE(2020,1,31)),#N/A),IFERROR((SUMIFS('DATA INPUT'!$C$3:$C$3000,'DATA INPUT'!$B$3:$B$3000,'Report Tables'!AX$1,'DATA INPUT'!$A$3:$A$3000,"&gt;="&amp;DATE(2020,1,1),'DATA INPUT'!$A$3:$A$3000,"&lt;"&amp;DATE(2020,1,31),'DATA INPUT'!$F$3:$F$3000,"&lt;&gt;*Exclude*"))/(COUNTIFS('DATA INPUT'!$B$3:$B$3000,'Report Tables'!AX$1,'DATA INPUT'!$A$3:$A$3000,"&gt;="&amp;DATE(2020,1,1),'DATA INPUT'!$A$3:$A$3000,"&lt;"&amp;DATE(2020,1,31),'DATA INPUT'!$F$3:$F$3000,"&lt;&gt;*Exclude*")),#N/A))</f>
        <v>#N/A</v>
      </c>
    </row>
    <row r="40" spans="1:52" ht="16.2" thickBot="1" x14ac:dyDescent="0.35">
      <c r="B40" s="64" t="s">
        <v>86</v>
      </c>
      <c r="C40" s="26">
        <v>2017</v>
      </c>
      <c r="D40" s="26">
        <v>2018</v>
      </c>
      <c r="E40" s="26">
        <v>2019</v>
      </c>
      <c r="F40" s="26">
        <v>2020</v>
      </c>
      <c r="G40" s="27">
        <v>2021</v>
      </c>
      <c r="H40" s="26">
        <v>2022</v>
      </c>
      <c r="I40" s="26">
        <v>2023</v>
      </c>
      <c r="J40" s="26">
        <v>2024</v>
      </c>
      <c r="K40" s="70">
        <v>2025</v>
      </c>
      <c r="L40" s="71" t="s">
        <v>11</v>
      </c>
      <c r="Y40" s="149"/>
      <c r="Z40" s="149" t="s">
        <v>13</v>
      </c>
      <c r="AA40" s="136" t="e">
        <f>IF($L$2="Yes",IF(SUMIFS('DATA INPUT'!$E$3:$E$3000,'DATA INPUT'!$B$3:$B$3000,'Report Tables'!AA$1,'DATA INPUT'!$A$3:$A$3000,"&gt;="&amp;DATE(2020,2,1),'DATA INPUT'!$A$3:$A$3000,"&lt;"&amp;DATE(2020,2,31))=0,#N/A,(SUMIFS('DATA INPUT'!$E$3:$E$3000,'DATA INPUT'!$B$3:$B$3000,'Report Tables'!AA$1,'DATA INPUT'!$A$3:$A$3000,"&gt;="&amp;DATE(2020,2,1),'DATA INPUT'!$A$3:$A$3000,"&lt;"&amp;DATE(2020,2,31)))),IF(SUMIFS('DATA INPUT'!$E$3:$E$3000,'DATA INPUT'!$B$3:$B$3000,'Report Tables'!AA$1,'DATA INPUT'!$A$3:$A$3000,"&gt;="&amp;DATE(2020,2,1),'DATA INPUT'!$A$3:$A$3000,"&lt;"&amp;DATE(2020,2,31),'DATA INPUT'!$F$3:$F$3000,"&lt;&gt;*Exclude*")=0,#N/A,(SUMIFS('DATA INPUT'!$E$3:$E$3000,'DATA INPUT'!$B$3:$B$3000,'Report Tables'!AA$1,'DATA INPUT'!$A$3:$A$3000,"&gt;="&amp;DATE(2020,2,1),'DATA INPUT'!$A$3:$A$3000,"&lt;"&amp;DATE(2020,2,31),'DATA INPUT'!$F$3:$F$3000,"&lt;&gt;*Exclude*"))))</f>
        <v>#N/A</v>
      </c>
      <c r="AB40" s="136" t="e">
        <f>IF($L$2="Yes",IF(SUMIFS('DATA INPUT'!$E$3:$E$3000,'DATA INPUT'!$B$3:$B$3000,'Report Tables'!AB$1,'DATA INPUT'!$A$3:$A$3000,"&gt;="&amp;DATE(2020,2,1),'DATA INPUT'!$A$3:$A$3000,"&lt;"&amp;DATE(2020,2,31))=0,#N/A,(SUMIFS('DATA INPUT'!$E$3:$E$3000,'DATA INPUT'!$B$3:$B$3000,'Report Tables'!AB$1,'DATA INPUT'!$A$3:$A$3000,"&gt;="&amp;DATE(2020,2,1),'DATA INPUT'!$A$3:$A$3000,"&lt;"&amp;DATE(2020,2,31)))),IF(SUMIFS('DATA INPUT'!$E$3:$E$3000,'DATA INPUT'!$B$3:$B$3000,'Report Tables'!AB$1,'DATA INPUT'!$A$3:$A$3000,"&gt;="&amp;DATE(2020,2,1),'DATA INPUT'!$A$3:$A$3000,"&lt;"&amp;DATE(2020,2,31),'DATA INPUT'!$F$3:$F$3000,"&lt;&gt;*Exclude*")=0,#N/A,(SUMIFS('DATA INPUT'!$E$3:$E$3000,'DATA INPUT'!$B$3:$B$3000,'Report Tables'!AB$1,'DATA INPUT'!$A$3:$A$3000,"&gt;="&amp;DATE(2020,2,1),'DATA INPUT'!$A$3:$A$3000,"&lt;"&amp;DATE(2020,2,31),'DATA INPUT'!$F$3:$F$3000,"&lt;&gt;*Exclude*"))))</f>
        <v>#N/A</v>
      </c>
      <c r="AC40" s="136" t="e">
        <f>IF($L$2="Yes",IF(SUMIFS('DATA INPUT'!$E$3:$E$3000,'DATA INPUT'!$B$3:$B$3000,'Report Tables'!AC$1,'DATA INPUT'!$A$3:$A$3000,"&gt;="&amp;DATE(2020,2,1),'DATA INPUT'!$A$3:$A$3000,"&lt;"&amp;DATE(2020,2,31))=0,#N/A,(SUMIFS('DATA INPUT'!$E$3:$E$3000,'DATA INPUT'!$B$3:$B$3000,'Report Tables'!AC$1,'DATA INPUT'!$A$3:$A$3000,"&gt;="&amp;DATE(2020,2,1),'DATA INPUT'!$A$3:$A$3000,"&lt;"&amp;DATE(2020,2,31)))),IF(SUMIFS('DATA INPUT'!$E$3:$E$3000,'DATA INPUT'!$B$3:$B$3000,'Report Tables'!AC$1,'DATA INPUT'!$A$3:$A$3000,"&gt;="&amp;DATE(2020,2,1),'DATA INPUT'!$A$3:$A$3000,"&lt;"&amp;DATE(2020,2,31),'DATA INPUT'!$F$3:$F$3000,"&lt;&gt;*Exclude*")=0,#N/A,(SUMIFS('DATA INPUT'!$E$3:$E$3000,'DATA INPUT'!$B$3:$B$3000,'Report Tables'!AC$1,'DATA INPUT'!$A$3:$A$3000,"&gt;="&amp;DATE(2020,2,1),'DATA INPUT'!$A$3:$A$3000,"&lt;"&amp;DATE(2020,2,31),'DATA INPUT'!$F$3:$F$3000,"&lt;&gt;*Exclude*"))))</f>
        <v>#N/A</v>
      </c>
      <c r="AD40" s="136" t="e">
        <f>IF($L$2="Yes",IF(SUMIFS('DATA INPUT'!$E$3:$E$3000,'DATA INPUT'!$B$3:$B$3000,'Report Tables'!AD$1,'DATA INPUT'!$A$3:$A$3000,"&gt;="&amp;DATE(2020,2,1),'DATA INPUT'!$A$3:$A$3000,"&lt;"&amp;DATE(2020,2,31))=0,#N/A,(SUMIFS('DATA INPUT'!$E$3:$E$3000,'DATA INPUT'!$B$3:$B$3000,'Report Tables'!AD$1,'DATA INPUT'!$A$3:$A$3000,"&gt;="&amp;DATE(2020,2,1),'DATA INPUT'!$A$3:$A$3000,"&lt;"&amp;DATE(2020,2,31)))),IF(SUMIFS('DATA INPUT'!$E$3:$E$3000,'DATA INPUT'!$B$3:$B$3000,'Report Tables'!AD$1,'DATA INPUT'!$A$3:$A$3000,"&gt;="&amp;DATE(2020,2,1),'DATA INPUT'!$A$3:$A$3000,"&lt;"&amp;DATE(2020,2,31),'DATA INPUT'!$F$3:$F$3000,"&lt;&gt;*Exclude*")=0,#N/A,(SUMIFS('DATA INPUT'!$E$3:$E$3000,'DATA INPUT'!$B$3:$B$3000,'Report Tables'!AD$1,'DATA INPUT'!$A$3:$A$3000,"&gt;="&amp;DATE(2020,2,1),'DATA INPUT'!$A$3:$A$3000,"&lt;"&amp;DATE(2020,2,31),'DATA INPUT'!$F$3:$F$3000,"&lt;&gt;*Exclude*"))))</f>
        <v>#N/A</v>
      </c>
      <c r="AE40" s="136" t="e">
        <f>IF($L$2="Yes",IF(SUMIFS('DATA INPUT'!$E$3:$E$3000,'DATA INPUT'!$B$3:$B$3000,'Report Tables'!AE$1,'DATA INPUT'!$A$3:$A$3000,"&gt;="&amp;DATE(2020,2,1),'DATA INPUT'!$A$3:$A$3000,"&lt;"&amp;DATE(2020,2,31))=0,#N/A,(SUMIFS('DATA INPUT'!$E$3:$E$3000,'DATA INPUT'!$B$3:$B$3000,'Report Tables'!AE$1,'DATA INPUT'!$A$3:$A$3000,"&gt;="&amp;DATE(2020,2,1),'DATA INPUT'!$A$3:$A$3000,"&lt;"&amp;DATE(2020,2,31)))),IF(SUMIFS('DATA INPUT'!$E$3:$E$3000,'DATA INPUT'!$B$3:$B$3000,'Report Tables'!AE$1,'DATA INPUT'!$A$3:$A$3000,"&gt;="&amp;DATE(2020,2,1),'DATA INPUT'!$A$3:$A$3000,"&lt;"&amp;DATE(2020,2,31),'DATA INPUT'!$F$3:$F$3000,"&lt;&gt;*Exclude*")=0,#N/A,(SUMIFS('DATA INPUT'!$E$3:$E$3000,'DATA INPUT'!$B$3:$B$3000,'Report Tables'!AE$1,'DATA INPUT'!$A$3:$A$3000,"&gt;="&amp;DATE(2020,2,1),'DATA INPUT'!$A$3:$A$3000,"&lt;"&amp;DATE(2020,2,31),'DATA INPUT'!$F$3:$F$3000,"&lt;&gt;*Exclude*"))))</f>
        <v>#N/A</v>
      </c>
      <c r="AF40" s="136" t="e">
        <f>IF($L$2="Yes",IF(SUMIFS('DATA INPUT'!$E$3:$E$3000,'DATA INPUT'!$B$3:$B$3000,'Report Tables'!AF$1,'DATA INPUT'!$A$3:$A$3000,"&gt;="&amp;DATE(2020,2,1),'DATA INPUT'!$A$3:$A$3000,"&lt;"&amp;DATE(2020,2,31))=0,#N/A,(SUMIFS('DATA INPUT'!$E$3:$E$3000,'DATA INPUT'!$B$3:$B$3000,'Report Tables'!AF$1,'DATA INPUT'!$A$3:$A$3000,"&gt;="&amp;DATE(2020,2,1),'DATA INPUT'!$A$3:$A$3000,"&lt;"&amp;DATE(2020,2,31)))),IF(SUMIFS('DATA INPUT'!$E$3:$E$3000,'DATA INPUT'!$B$3:$B$3000,'Report Tables'!AF$1,'DATA INPUT'!$A$3:$A$3000,"&gt;="&amp;DATE(2020,2,1),'DATA INPUT'!$A$3:$A$3000,"&lt;"&amp;DATE(2020,2,31),'DATA INPUT'!$F$3:$F$3000,"&lt;&gt;*Exclude*")=0,#N/A,(SUMIFS('DATA INPUT'!$E$3:$E$3000,'DATA INPUT'!$B$3:$B$3000,'Report Tables'!AF$1,'DATA INPUT'!$A$3:$A$3000,"&gt;="&amp;DATE(2020,2,1),'DATA INPUT'!$A$3:$A$3000,"&lt;"&amp;DATE(2020,2,31),'DATA INPUT'!$F$3:$F$3000,"&lt;&gt;*Exclude*"))))</f>
        <v>#N/A</v>
      </c>
      <c r="AG40" s="136" t="e">
        <f>IF($L$2="Yes",IF(SUMIFS('DATA INPUT'!$E$3:$E$3000,'DATA INPUT'!$B$3:$B$3000,'Report Tables'!AG$1,'DATA INPUT'!$A$3:$A$3000,"&gt;="&amp;DATE(2020,2,1),'DATA INPUT'!$A$3:$A$3000,"&lt;"&amp;DATE(2020,2,31))=0,#N/A,(SUMIFS('DATA INPUT'!$E$3:$E$3000,'DATA INPUT'!$B$3:$B$3000,'Report Tables'!AG$1,'DATA INPUT'!$A$3:$A$3000,"&gt;="&amp;DATE(2020,2,1),'DATA INPUT'!$A$3:$A$3000,"&lt;"&amp;DATE(2020,2,31)))),IF(SUMIFS('DATA INPUT'!$E$3:$E$3000,'DATA INPUT'!$B$3:$B$3000,'Report Tables'!AG$1,'DATA INPUT'!$A$3:$A$3000,"&gt;="&amp;DATE(2020,2,1),'DATA INPUT'!$A$3:$A$3000,"&lt;"&amp;DATE(2020,2,31),'DATA INPUT'!$F$3:$F$3000,"&lt;&gt;*Exclude*")=0,#N/A,(SUMIFS('DATA INPUT'!$E$3:$E$3000,'DATA INPUT'!$B$3:$B$3000,'Report Tables'!AG$1,'DATA INPUT'!$A$3:$A$3000,"&gt;="&amp;DATE(2020,2,1),'DATA INPUT'!$A$3:$A$3000,"&lt;"&amp;DATE(2020,2,31),'DATA INPUT'!$F$3:$F$3000,"&lt;&gt;*Exclude*"))))</f>
        <v>#N/A</v>
      </c>
      <c r="AH40" s="136" t="e">
        <f>IF($L$2="Yes",IF(SUMIFS('DATA INPUT'!$E$3:$E$3000,'DATA INPUT'!$B$3:$B$3000,'Report Tables'!AH$1,'DATA INPUT'!$A$3:$A$3000,"&gt;="&amp;DATE(2020,2,1),'DATA INPUT'!$A$3:$A$3000,"&lt;"&amp;DATE(2020,2,31))=0,#N/A,(SUMIFS('DATA INPUT'!$E$3:$E$3000,'DATA INPUT'!$B$3:$B$3000,'Report Tables'!AH$1,'DATA INPUT'!$A$3:$A$3000,"&gt;="&amp;DATE(2020,2,1),'DATA INPUT'!$A$3:$A$3000,"&lt;"&amp;DATE(2020,2,31)))),IF(SUMIFS('DATA INPUT'!$E$3:$E$3000,'DATA INPUT'!$B$3:$B$3000,'Report Tables'!AH$1,'DATA INPUT'!$A$3:$A$3000,"&gt;="&amp;DATE(2020,2,1),'DATA INPUT'!$A$3:$A$3000,"&lt;"&amp;DATE(2020,2,31),'DATA INPUT'!$F$3:$F$3000,"&lt;&gt;*Exclude*")=0,#N/A,(SUMIFS('DATA INPUT'!$E$3:$E$3000,'DATA INPUT'!$B$3:$B$3000,'Report Tables'!AH$1,'DATA INPUT'!$A$3:$A$3000,"&gt;="&amp;DATE(2020,2,1),'DATA INPUT'!$A$3:$A$3000,"&lt;"&amp;DATE(2020,2,31),'DATA INPUT'!$F$3:$F$3000,"&lt;&gt;*Exclude*"))))</f>
        <v>#N/A</v>
      </c>
      <c r="AI40" s="136" t="e">
        <f t="shared" si="0"/>
        <v>#N/A</v>
      </c>
      <c r="AJ40" s="136" t="e">
        <f>IF($L$2="Yes",IF(SUMIFS('DATA INPUT'!$D$3:$D$3000,'DATA INPUT'!$A$3:$A$3000,"&gt;="&amp;DATE(2020,2,1),'DATA INPUT'!$A$3:$A$3000,"&lt;"&amp;DATE(2020,2,31),'DATA INPUT'!$G$3:$G$3000,"&lt;&gt;*School service*")=0,#N/A,(SUMIFS('DATA INPUT'!$D$3:$D$3000,'DATA INPUT'!$A$3:$A$3000,"&gt;="&amp;DATE(2020,2,1),'DATA INPUT'!$A$3:$A$3000,"&lt;"&amp;DATE(2020,2,31),'DATA INPUT'!$G$3:$G$3000,"&lt;&gt;*School service*"))),IF(SUMIFS('DATA INPUT'!$D$3:$D$3000,'DATA INPUT'!$A$3:$A$3000,"&gt;="&amp;DATE(2020,2,1),'DATA INPUT'!$A$3:$A$3000,"&lt;"&amp;DATE(2020,2,31),'DATA INPUT'!$F$3:$F$3000,"&lt;&gt;*Exclude*",'DATA INPUT'!$G$3:$G$3000,"&lt;&gt;*School service*")=0,#N/A,(SUMIFS('DATA INPUT'!$D$3:$D$3000,'DATA INPUT'!$A$3:$A$3000,"&gt;="&amp;DATE(2020,2,1),'DATA INPUT'!$A$3:$A$3000,"&lt;"&amp;DATE(2020,2,31),'DATA INPUT'!$F$3:$F$3000,"&lt;&gt;*Exclude*",'DATA INPUT'!$G$3:$G$3000,"&lt;&gt;*School service*"))))</f>
        <v>#N/A</v>
      </c>
      <c r="AK40" s="136" t="e">
        <f>AI40-AJ40</f>
        <v>#N/A</v>
      </c>
      <c r="AM40" s="117" t="e">
        <f>IF($L$2="Yes",IFERROR((SUMIFS('DATA INPUT'!$E$3:$E$3000,'DATA INPUT'!$B$3:$B$3000,'Report Tables'!AM$1,'DATA INPUT'!$A$3:$A$3000,"&gt;="&amp;DATE(2020,2,1),'DATA INPUT'!$A$3:$A$3000,"&lt;"&amp;DATE(2020,2,31)))/COUNTIFS('DATA INPUT'!$B$3:$B$3000,'Report Tables'!AM$1,'DATA INPUT'!$A$3:$A$3000,"&gt;="&amp;DATE(2020,2,1),'DATA INPUT'!$A$3:$A$3000,"&lt;"&amp;DATE(2020,2,31)),#N/A),IFERROR((SUMIFS('DATA INPUT'!$E$3:$E$3000,'DATA INPUT'!$B$3:$B$3000,'Report Tables'!AM$1,'DATA INPUT'!$A$3:$A$3000,"&gt;="&amp;DATE(2020,2,1),'DATA INPUT'!$A$3:$A$3000,"&lt;"&amp;DATE(2020,2,31),'DATA INPUT'!$F$3:$F$3000,"&lt;&gt;*Exclude*"))/(COUNTIFS('DATA INPUT'!$B$3:$B$3000,'Report Tables'!AM$1,'DATA INPUT'!$A$3:$A$3000,"&gt;="&amp;DATE(2020,2,1),'DATA INPUT'!$A$3:$A$3000,"&lt;"&amp;DATE(2020,2,31),'DATA INPUT'!$F$3:$F$3000,"&lt;&gt;*Exclude*")),#N/A))</f>
        <v>#N/A</v>
      </c>
      <c r="AN40" s="117" t="e">
        <f>IF($L$2="Yes",IFERROR((SUMIFS('DATA INPUT'!$E$3:$E$3000,'DATA INPUT'!$B$3:$B$3000,'Report Tables'!AN$1,'DATA INPUT'!$A$3:$A$3000,"&gt;="&amp;DATE(2020,2,1),'DATA INPUT'!$A$3:$A$3000,"&lt;"&amp;DATE(2020,2,31)))/COUNTIFS('DATA INPUT'!$B$3:$B$3000,'Report Tables'!AN$1,'DATA INPUT'!$A$3:$A$3000,"&gt;="&amp;DATE(2020,2,1),'DATA INPUT'!$A$3:$A$3000,"&lt;"&amp;DATE(2020,2,31)),#N/A),IFERROR((SUMIFS('DATA INPUT'!$E$3:$E$3000,'DATA INPUT'!$B$3:$B$3000,'Report Tables'!AN$1,'DATA INPUT'!$A$3:$A$3000,"&gt;="&amp;DATE(2020,2,1),'DATA INPUT'!$A$3:$A$3000,"&lt;"&amp;DATE(2020,2,31),'DATA INPUT'!$F$3:$F$3000,"&lt;&gt;*Exclude*"))/(COUNTIFS('DATA INPUT'!$B$3:$B$3000,'Report Tables'!AN$1,'DATA INPUT'!$A$3:$A$3000,"&gt;="&amp;DATE(2020,2,1),'DATA INPUT'!$A$3:$A$3000,"&lt;"&amp;DATE(2020,2,31),'DATA INPUT'!$F$3:$F$3000,"&lt;&gt;*Exclude*")),#N/A))</f>
        <v>#N/A</v>
      </c>
      <c r="AO40" s="117" t="e">
        <f>IF($L$2="Yes",IFERROR((SUMIFS('DATA INPUT'!$E$3:$E$3000,'DATA INPUT'!$B$3:$B$3000,'Report Tables'!AO$1,'DATA INPUT'!$A$3:$A$3000,"&gt;="&amp;DATE(2020,2,1),'DATA INPUT'!$A$3:$A$3000,"&lt;"&amp;DATE(2020,2,31)))/COUNTIFS('DATA INPUT'!$B$3:$B$3000,'Report Tables'!AO$1,'DATA INPUT'!$A$3:$A$3000,"&gt;="&amp;DATE(2020,2,1),'DATA INPUT'!$A$3:$A$3000,"&lt;"&amp;DATE(2020,2,31)),#N/A),IFERROR((SUMIFS('DATA INPUT'!$E$3:$E$3000,'DATA INPUT'!$B$3:$B$3000,'Report Tables'!AO$1,'DATA INPUT'!$A$3:$A$3000,"&gt;="&amp;DATE(2020,2,1),'DATA INPUT'!$A$3:$A$3000,"&lt;"&amp;DATE(2020,2,31),'DATA INPUT'!$F$3:$F$3000,"&lt;&gt;*Exclude*"))/(COUNTIFS('DATA INPUT'!$B$3:$B$3000,'Report Tables'!AO$1,'DATA INPUT'!$A$3:$A$3000,"&gt;="&amp;DATE(2020,2,1),'DATA INPUT'!$A$3:$A$3000,"&lt;"&amp;DATE(2020,2,31),'DATA INPUT'!$F$3:$F$3000,"&lt;&gt;*Exclude*")),#N/A))</f>
        <v>#N/A</v>
      </c>
      <c r="AP40" s="117" t="e">
        <f>IF($L$2="Yes",IFERROR((SUMIFS('DATA INPUT'!$E$3:$E$3000,'DATA INPUT'!$B$3:$B$3000,'Report Tables'!AP$1,'DATA INPUT'!$A$3:$A$3000,"&gt;="&amp;DATE(2020,2,1),'DATA INPUT'!$A$3:$A$3000,"&lt;"&amp;DATE(2020,2,31)))/COUNTIFS('DATA INPUT'!$B$3:$B$3000,'Report Tables'!AP$1,'DATA INPUT'!$A$3:$A$3000,"&gt;="&amp;DATE(2020,2,1),'DATA INPUT'!$A$3:$A$3000,"&lt;"&amp;DATE(2020,2,31)),#N/A),IFERROR((SUMIFS('DATA INPUT'!$E$3:$E$3000,'DATA INPUT'!$B$3:$B$3000,'Report Tables'!AP$1,'DATA INPUT'!$A$3:$A$3000,"&gt;="&amp;DATE(2020,2,1),'DATA INPUT'!$A$3:$A$3000,"&lt;"&amp;DATE(2020,2,31),'DATA INPUT'!$F$3:$F$3000,"&lt;&gt;*Exclude*"))/(COUNTIFS('DATA INPUT'!$B$3:$B$3000,'Report Tables'!AP$1,'DATA INPUT'!$A$3:$A$3000,"&gt;="&amp;DATE(2020,2,1),'DATA INPUT'!$A$3:$A$3000,"&lt;"&amp;DATE(2020,2,31),'DATA INPUT'!$F$3:$F$3000,"&lt;&gt;*Exclude*")),#N/A))</f>
        <v>#N/A</v>
      </c>
      <c r="AQ40" s="117" t="e">
        <f>IF($L$2="Yes",IFERROR((SUMIFS('DATA INPUT'!$E$3:$E$3000,'DATA INPUT'!$B$3:$B$3000,'Report Tables'!AQ$1,'DATA INPUT'!$A$3:$A$3000,"&gt;="&amp;DATE(2020,2,1),'DATA INPUT'!$A$3:$A$3000,"&lt;"&amp;DATE(2020,2,31)))/COUNTIFS('DATA INPUT'!$B$3:$B$3000,'Report Tables'!AQ$1,'DATA INPUT'!$A$3:$A$3000,"&gt;="&amp;DATE(2020,2,1),'DATA INPUT'!$A$3:$A$3000,"&lt;"&amp;DATE(2020,2,31)),#N/A),IFERROR((SUMIFS('DATA INPUT'!$E$3:$E$3000,'DATA INPUT'!$B$3:$B$3000,'Report Tables'!AQ$1,'DATA INPUT'!$A$3:$A$3000,"&gt;="&amp;DATE(2020,2,1),'DATA INPUT'!$A$3:$A$3000,"&lt;"&amp;DATE(2020,2,31),'DATA INPUT'!$F$3:$F$3000,"&lt;&gt;*Exclude*"))/(COUNTIFS('DATA INPUT'!$B$3:$B$3000,'Report Tables'!AQ$1,'DATA INPUT'!$A$3:$A$3000,"&gt;="&amp;DATE(2020,2,1),'DATA INPUT'!$A$3:$A$3000,"&lt;"&amp;DATE(2020,2,31),'DATA INPUT'!$F$3:$F$3000,"&lt;&gt;*Exclude*")),#N/A))</f>
        <v>#N/A</v>
      </c>
      <c r="AR40" s="117" t="e">
        <f>IF($L$2="Yes",IFERROR((SUMIFS('DATA INPUT'!$E$3:$E$3000,'DATA INPUT'!$B$3:$B$3000,'Report Tables'!AR$1,'DATA INPUT'!$A$3:$A$3000,"&gt;="&amp;DATE(2020,2,1),'DATA INPUT'!$A$3:$A$3000,"&lt;"&amp;DATE(2020,2,31)))/COUNTIFS('DATA INPUT'!$B$3:$B$3000,'Report Tables'!AR$1,'DATA INPUT'!$A$3:$A$3000,"&gt;="&amp;DATE(2020,2,1),'DATA INPUT'!$A$3:$A$3000,"&lt;"&amp;DATE(2020,2,31)),#N/A),IFERROR((SUMIFS('DATA INPUT'!$E$3:$E$3000,'DATA INPUT'!$B$3:$B$3000,'Report Tables'!AR$1,'DATA INPUT'!$A$3:$A$3000,"&gt;="&amp;DATE(2020,2,1),'DATA INPUT'!$A$3:$A$3000,"&lt;"&amp;DATE(2020,2,31),'DATA INPUT'!$F$3:$F$3000,"&lt;&gt;*Exclude*"))/(COUNTIFS('DATA INPUT'!$B$3:$B$3000,'Report Tables'!AR$1,'DATA INPUT'!$A$3:$A$3000,"&gt;="&amp;DATE(2020,2,1),'DATA INPUT'!$A$3:$A$3000,"&lt;"&amp;DATE(2020,2,31),'DATA INPUT'!$F$3:$F$3000,"&lt;&gt;*Exclude*")),#N/A))</f>
        <v>#N/A</v>
      </c>
      <c r="AS40" s="117" t="e">
        <f>IF($L$2="Yes",IFERROR((SUMIFS('DATA INPUT'!$E$3:$E$3000,'DATA INPUT'!$B$3:$B$3000,'Report Tables'!AS$1,'DATA INPUT'!$A$3:$A$3000,"&gt;="&amp;DATE(2020,2,1),'DATA INPUT'!$A$3:$A$3000,"&lt;"&amp;DATE(2020,2,31)))/COUNTIFS('DATA INPUT'!$B$3:$B$3000,'Report Tables'!AS$1,'DATA INPUT'!$A$3:$A$3000,"&gt;="&amp;DATE(2020,2,1),'DATA INPUT'!$A$3:$A$3000,"&lt;"&amp;DATE(2020,2,31)),#N/A),IFERROR((SUMIFS('DATA INPUT'!$E$3:$E$3000,'DATA INPUT'!$B$3:$B$3000,'Report Tables'!AS$1,'DATA INPUT'!$A$3:$A$3000,"&gt;="&amp;DATE(2020,2,1),'DATA INPUT'!$A$3:$A$3000,"&lt;"&amp;DATE(2020,2,31),'DATA INPUT'!$F$3:$F$3000,"&lt;&gt;*Exclude*"))/(COUNTIFS('DATA INPUT'!$B$3:$B$3000,'Report Tables'!AS$1,'DATA INPUT'!$A$3:$A$3000,"&gt;="&amp;DATE(2020,2,1),'DATA INPUT'!$A$3:$A$3000,"&lt;"&amp;DATE(2020,2,31),'DATA INPUT'!$F$3:$F$3000,"&lt;&gt;*Exclude*")),#N/A))</f>
        <v>#N/A</v>
      </c>
      <c r="AT40" s="117" t="e">
        <f>IF($L$2="Yes",IFERROR((SUMIFS('DATA INPUT'!$E$3:$E$3000,'DATA INPUT'!$B$3:$B$3000,'Report Tables'!AT$1,'DATA INPUT'!$A$3:$A$3000,"&gt;="&amp;DATE(2020,2,1),'DATA INPUT'!$A$3:$A$3000,"&lt;"&amp;DATE(2020,2,31)))/COUNTIFS('DATA INPUT'!$B$3:$B$3000,'Report Tables'!AT$1,'DATA INPUT'!$A$3:$A$3000,"&gt;="&amp;DATE(2020,2,1),'DATA INPUT'!$A$3:$A$3000,"&lt;"&amp;DATE(2020,2,31)),#N/A),IFERROR((SUMIFS('DATA INPUT'!$E$3:$E$3000,'DATA INPUT'!$B$3:$B$3000,'Report Tables'!AT$1,'DATA INPUT'!$A$3:$A$3000,"&gt;="&amp;DATE(2020,2,1),'DATA INPUT'!$A$3:$A$3000,"&lt;"&amp;DATE(2020,2,31),'DATA INPUT'!$F$3:$F$3000,"&lt;&gt;*Exclude*"))/(COUNTIFS('DATA INPUT'!$B$3:$B$3000,'Report Tables'!AT$1,'DATA INPUT'!$A$3:$A$3000,"&gt;="&amp;DATE(2020,2,1),'DATA INPUT'!$A$3:$A$3000,"&lt;"&amp;DATE(2020,2,31),'DATA INPUT'!$F$3:$F$3000,"&lt;&gt;*Exclude*")),#N/A))</f>
        <v>#N/A</v>
      </c>
      <c r="AU40" s="117" t="e">
        <f t="shared" si="1"/>
        <v>#N/A</v>
      </c>
      <c r="AV40" s="117" t="e">
        <f>IF($L$2="Yes",IFERROR((SUMIFS('DATA INPUT'!$D$3:$D$3000,'DATA INPUT'!$A$3:$A$3000,"&gt;="&amp;DATE(2020,2,1),'DATA INPUT'!$A$3:$A$3000,"&lt;"&amp;DATE(2020,2,31),'DATA INPUT'!$G$3:$G$3000,"&lt;&gt;*School service*"))/COUNTIFS('DATA INPUT'!$A$3:$A$3000,"&gt;="&amp;DATE(2020,2,1),'DATA INPUT'!$A$3:$A$3000,"&lt;"&amp;DATE(2020,2,31),'DATA INPUT'!$G$3:$G$3000,"&lt;&gt;*School service*",'DATA INPUT'!$D$3:$D$3000,"&lt;&gt;"&amp;""),#N/A),IFERROR((SUMIFS('DATA INPUT'!$D$3:$D$3000,'DATA INPUT'!$A$3:$A$3000,"&gt;="&amp;DATE(2020,2,1),'DATA INPUT'!$A$3:$A$3000,"&lt;"&amp;DATE(2020,2,31),'DATA INPUT'!$F$3:$F$3000,"&lt;&gt;*Exclude*",'DATA INPUT'!$G$3:$G$3000,"&lt;&gt;*School service*"))/(COUNTIFS('DATA INPUT'!$A$3:$A$3000,"&gt;="&amp;DATE(2020,2,1),'DATA INPUT'!$A$3:$A$3000,"&lt;"&amp;DATE(2020,2,31),'DATA INPUT'!$F$3:$F$3000,"&lt;&gt;*Exclude*",'DATA INPUT'!$G$3:$G$3000,"&lt;&gt;*School service*",'DATA INPUT'!$D$3:$D$3000,"&lt;&gt;"&amp;"")),#N/A))</f>
        <v>#N/A</v>
      </c>
      <c r="AW40" s="117" t="e">
        <f t="shared" si="2"/>
        <v>#N/A</v>
      </c>
      <c r="AX40" s="117" t="e">
        <f>IF($L$2="Yes",IFERROR((SUMIFS('DATA INPUT'!$E$3:$E$3000,'DATA INPUT'!$B$3:$B$3000,'Report Tables'!AX$1,'DATA INPUT'!$A$3:$A$3000,"&gt;="&amp;DATE(2020,2,1),'DATA INPUT'!$A$3:$A$3000,"&lt;"&amp;DATE(2020,2,31)))/COUNTIFS('DATA INPUT'!$B$3:$B$3000,'Report Tables'!AX$1,'DATA INPUT'!$A$3:$A$3000,"&gt;="&amp;DATE(2020,2,1),'DATA INPUT'!$A$3:$A$3000,"&lt;"&amp;DATE(2020,2,31)),#N/A),IFERROR((SUMIFS('DATA INPUT'!$E$3:$E$3000,'DATA INPUT'!$B$3:$B$3000,'Report Tables'!AX$1,'DATA INPUT'!$A$3:$A$3000,"&gt;="&amp;DATE(2020,2,1),'DATA INPUT'!$A$3:$A$3000,"&lt;"&amp;DATE(2020,2,31),'DATA INPUT'!$F$3:$F$3000,"&lt;&gt;*Exclude*"))/(COUNTIFS('DATA INPUT'!$B$3:$B$3000,'Report Tables'!AX$1,'DATA INPUT'!$A$3:$A$3000,"&gt;="&amp;DATE(2020,2,1),'DATA INPUT'!$A$3:$A$3000,"&lt;"&amp;DATE(2020,2,31),'DATA INPUT'!$F$3:$F$3000,"&lt;&gt;*Exclude*")),#N/A))</f>
        <v>#N/A</v>
      </c>
      <c r="AY40" s="117" t="e">
        <f>IF($L$2="Yes",IFERROR((SUMIFS('DATA INPUT'!$D$3:$D$3000,'DATA INPUT'!$B$3:$B$3000,'Report Tables'!AX$1,'DATA INPUT'!$A$3:$A$3000,"&gt;="&amp;DATE(2020,2,1),'DATA INPUT'!$A$3:$A$3000,"&lt;"&amp;DATE(2020,2,31)))/COUNTIFS('DATA INPUT'!$B$3:$B$3000,'Report Tables'!AX$1,'DATA INPUT'!$A$3:$A$3000,"&gt;="&amp;DATE(2020,2,1),'DATA INPUT'!$A$3:$A$3000,"&lt;"&amp;DATE(2020,2,31)),#N/A),IFERROR((SUMIFS('DATA INPUT'!$D$3:$D$3000,'DATA INPUT'!$B$3:$B$3000,'Report Tables'!AX$1,'DATA INPUT'!$A$3:$A$3000,"&gt;="&amp;DATE(2020,2,1),'DATA INPUT'!$A$3:$A$3000,"&lt;"&amp;DATE(2020,2,31),'DATA INPUT'!$F$3:$F$3000,"&lt;&gt;*Exclude*"))/(COUNTIFS('DATA INPUT'!$B$3:$B$3000,'Report Tables'!AX$1,'DATA INPUT'!$A$3:$A$3000,"&gt;="&amp;DATE(2020,2,1),'DATA INPUT'!$A$3:$A$3000,"&lt;"&amp;DATE(2020,2,31),'DATA INPUT'!$F$3:$F$3000,"&lt;&gt;*Exclude*")),#N/A))</f>
        <v>#N/A</v>
      </c>
      <c r="AZ40" s="117" t="e">
        <f>IF($L$2="Yes",IFERROR((SUMIFS('DATA INPUT'!$C$3:$C$3000,'DATA INPUT'!$B$3:$B$3000,'Report Tables'!AX$1,'DATA INPUT'!$A$3:$A$3000,"&gt;="&amp;DATE(2020,2,1),'DATA INPUT'!$A$3:$A$3000,"&lt;"&amp;DATE(2020,2,31)))/COUNTIFS('DATA INPUT'!$B$3:$B$3000,'Report Tables'!AX$1,'DATA INPUT'!$A$3:$A$3000,"&gt;="&amp;DATE(2020,2,1),'DATA INPUT'!$A$3:$A$3000,"&lt;"&amp;DATE(2020,2,31)),#N/A),IFERROR((SUMIFS('DATA INPUT'!$C$3:$C$3000,'DATA INPUT'!$B$3:$B$3000,'Report Tables'!AX$1,'DATA INPUT'!$A$3:$A$3000,"&gt;="&amp;DATE(2020,2,1),'DATA INPUT'!$A$3:$A$3000,"&lt;"&amp;DATE(2020,2,31),'DATA INPUT'!$F$3:$F$3000,"&lt;&gt;*Exclude*"))/(COUNTIFS('DATA INPUT'!$B$3:$B$3000,'Report Tables'!AX$1,'DATA INPUT'!$A$3:$A$3000,"&gt;="&amp;DATE(2020,2,1),'DATA INPUT'!$A$3:$A$3000,"&lt;"&amp;DATE(2020,2,31),'DATA INPUT'!$F$3:$F$3000,"&lt;&gt;*Exclude*")),#N/A))</f>
        <v>#N/A</v>
      </c>
    </row>
    <row r="41" spans="1:52" x14ac:dyDescent="0.3">
      <c r="A41" s="95" t="e">
        <f>VLOOKUP(B41,Information!$C$8:$F$15,4,FALSE)</f>
        <v>#N/A</v>
      </c>
      <c r="B41" s="53">
        <f>$B$5</f>
        <v>0</v>
      </c>
      <c r="C41" s="58" t="e">
        <f>IF($L$2="Yes",(SUMIFS('DATA INPUT'!$C$3:$C$3000,'DATA INPUT'!$A$3:$A$3000,"&gt;="&amp;DATE(2017,1,1),'DATA INPUT'!$A$3:$A$3000,"&lt;="&amp;DATE(2017,12,31),'DATA INPUT'!$B$3:$B$3000,$B41))/(COUNTIFS('DATA INPUT'!$A$3:$A$3000,"&gt;="&amp;DATE(2017,1,1),'DATA INPUT'!$A$3:$A$3000,"&lt;="&amp;DATE(2017,12,31),'DATA INPUT'!$B$3:$B$3000,$B41)),(SUMIFS('DATA INPUT'!$C$3:$C$3000,'DATA INPUT'!$A$3:$A$3000,"&gt;="&amp;DATE(2017,1,1),'DATA INPUT'!$A$3:$A$3000,"&lt;="&amp;DATE(2017,12,31),'DATA INPUT'!$B$3:$B$3000,$B41,'DATA INPUT'!$F$3:$F$3000,"&lt;&gt;*Exclude*"))/(COUNTIFS('DATA INPUT'!$A$3:$A$3000,"&gt;="&amp;DATE(2017,1,1),'DATA INPUT'!$A$3:$A$3000,"&lt;="&amp;DATE(2017,12,31),'DATA INPUT'!$B$3:$B$3000,$B41,'DATA INPUT'!$F$3:$F$3000,"&lt;&gt;*Exclude*")))</f>
        <v>#DIV/0!</v>
      </c>
      <c r="D41" s="58" t="e">
        <f>IF($L$2="Yes",(SUMIFS('DATA INPUT'!$C$3:$C$3000,'DATA INPUT'!$A$3:$A$3000,"&gt;="&amp;DATE(2018,1,1),'DATA INPUT'!$A$3:$A$3000,"&lt;="&amp;DATE(2018,12,31),'DATA INPUT'!$B$3:$B$3000,$B41))/(COUNTIFS('DATA INPUT'!$A$3:$A$3000,"&gt;="&amp;DATE(2018,1,1),'DATA INPUT'!$A$3:$A$3000,"&lt;="&amp;DATE(2018,12,31),'DATA INPUT'!$B$3:$B$3000,$B41)),(SUMIFS('DATA INPUT'!$C$3:$C$3000,'DATA INPUT'!$A$3:$A$3000,"&gt;="&amp;DATE(2018,1,1),'DATA INPUT'!$A$3:$A$3000,"&lt;="&amp;DATE(2018,12,31),'DATA INPUT'!$B$3:$B$3000,$B41,'DATA INPUT'!$F$3:$F$3000,"&lt;&gt;*Exclude*"))/(COUNTIFS('DATA INPUT'!$A$3:$A$3000,"&gt;="&amp;DATE(2018,1,1),'DATA INPUT'!$A$3:$A$3000,"&lt;="&amp;DATE(2018,12,31),'DATA INPUT'!$B$3:$B$3000,$B41,'DATA INPUT'!$F$3:$F$3000,"&lt;&gt;*Exclude*")))</f>
        <v>#DIV/0!</v>
      </c>
      <c r="E41" s="58" t="e">
        <f>IF($L$2="Yes",(SUMIFS('DATA INPUT'!$C$3:$C$3000,'DATA INPUT'!$A$3:$A$3000,"&gt;="&amp;DATE(2019,1,1),'DATA INPUT'!$A$3:$A$3000,"&lt;="&amp;DATE(2019,12,31),'DATA INPUT'!$B$3:$B$3000,$B41))/(COUNTIFS('DATA INPUT'!$A$3:$A$3000,"&gt;="&amp;DATE(2019,1,1),'DATA INPUT'!$A$3:$A$3000,"&lt;="&amp;DATE(2019,12,31),'DATA INPUT'!$B$3:$B$3000,$B41)),(SUMIFS('DATA INPUT'!$C$3:$C$3000,'DATA INPUT'!$A$3:$A$3000,"&gt;="&amp;DATE(2019,1,1),'DATA INPUT'!$A$3:$A$3000,"&lt;="&amp;DATE(2019,12,31),'DATA INPUT'!$B$3:$B$3000,$B41,'DATA INPUT'!$F$3:$F$3000,"&lt;&gt;*Exclude*"))/(COUNTIFS('DATA INPUT'!$A$3:$A$3000,"&gt;="&amp;DATE(2019,1,1),'DATA INPUT'!$A$3:$A$3000,"&lt;="&amp;DATE(2019,12,31),'DATA INPUT'!$B$3:$B$3000,$B41,'DATA INPUT'!$F$3:$F$3000,"&lt;&gt;*Exclude*")))</f>
        <v>#DIV/0!</v>
      </c>
      <c r="F41" s="58" t="e">
        <f>IF($L$2="Yes",(SUMIFS('DATA INPUT'!$C$3:$C$3000,'DATA INPUT'!$A$3:$A$3000,"&gt;="&amp;DATE(2020,1,1),'DATA INPUT'!$A$3:$A$3000,"&lt;="&amp;DATE(2020,12,31),'DATA INPUT'!$B$3:$B$3000,$B41))/(COUNTIFS('DATA INPUT'!$A$3:$A$3000,"&gt;="&amp;DATE(2020,1,1),'DATA INPUT'!$A$3:$A$3000,"&lt;="&amp;DATE(2020,12,31),'DATA INPUT'!$B$3:$B$3000,$B41)),(SUMIFS('DATA INPUT'!$C$3:$C$3000,'DATA INPUT'!$A$3:$A$3000,"&gt;="&amp;DATE(2020,1,1),'DATA INPUT'!$A$3:$A$3000,"&lt;="&amp;DATE(2020,12,31),'DATA INPUT'!$B$3:$B$3000,$B41,'DATA INPUT'!$F$3:$F$3000,"&lt;&gt;*Exclude*"))/(COUNTIFS('DATA INPUT'!$A$3:$A$3000,"&gt;="&amp;DATE(2020,1,1),'DATA INPUT'!$A$3:$A$3000,"&lt;="&amp;DATE(2020,12,31),'DATA INPUT'!$B$3:$B$3000,$B41,'DATA INPUT'!$F$3:$F$3000,"&lt;&gt;*Exclude*")))</f>
        <v>#DIV/0!</v>
      </c>
      <c r="G41" s="58" t="e">
        <f>IF($L$2="Yes",(SUMIFS('DATA INPUT'!$C$3:$C$3000,'DATA INPUT'!$A$3:$A$3000,"&gt;="&amp;DATE(2021,1,1),'DATA INPUT'!$A$3:$A$3000,"&lt;="&amp;DATE(2021,12,31),'DATA INPUT'!$B$3:$B$3000,$B41))/(COUNTIFS('DATA INPUT'!$A$3:$A$3000,"&gt;="&amp;DATE(2021,1,1),'DATA INPUT'!$A$3:$A$3000,"&lt;="&amp;DATE(2021,12,31),'DATA INPUT'!$B$3:$B$3000,$B41)),(SUMIFS('DATA INPUT'!$C$3:$C$3000,'DATA INPUT'!$A$3:$A$3000,"&gt;="&amp;DATE(2021,1,1),'DATA INPUT'!$A$3:$A$3000,"&lt;="&amp;DATE(2021,12,31),'DATA INPUT'!$B$3:$B$3000,$B41,'DATA INPUT'!$F$3:$F$3000,"&lt;&gt;*Exclude*"))/(COUNTIFS('DATA INPUT'!$A$3:$A$3000,"&gt;="&amp;DATE(2021,1,1),'DATA INPUT'!$A$3:$A$3000,"&lt;="&amp;DATE(2021,12,31),'DATA INPUT'!$B$3:$B$3000,$B41,'DATA INPUT'!$F$3:$F$3000,"&lt;&gt;*Exclude*")))</f>
        <v>#DIV/0!</v>
      </c>
      <c r="H41" s="58" t="e">
        <f>IF($L$2="Yes",(SUMIFS('DATA INPUT'!$C$3:$C$3000,'DATA INPUT'!$A$3:$A$3000,"&gt;="&amp;DATE(2022,1,1),'DATA INPUT'!$A$3:$A$3000,"&lt;="&amp;DATE(2022,12,31),'DATA INPUT'!$B$3:$B$3000,$B41))/(COUNTIFS('DATA INPUT'!$A$3:$A$3000,"&gt;="&amp;DATE(2022,1,1),'DATA INPUT'!$A$3:$A$3000,"&lt;="&amp;DATE(2022,12,31),'DATA INPUT'!$B$3:$B$3000,$B41)),(SUMIFS('DATA INPUT'!$C$3:$C$3000,'DATA INPUT'!$A$3:$A$3000,"&gt;="&amp;DATE(2022,1,1),'DATA INPUT'!$A$3:$A$3000,"&lt;="&amp;DATE(2022,12,31),'DATA INPUT'!$B$3:$B$3000,$B41,'DATA INPUT'!$F$3:$F$3000,"&lt;&gt;*Exclude*"))/(COUNTIFS('DATA INPUT'!$A$3:$A$3000,"&gt;="&amp;DATE(2022,1,1),'DATA INPUT'!$A$3:$A$3000,"&lt;="&amp;DATE(2022,12,31),'DATA INPUT'!$B$3:$B$3000,$B41,'DATA INPUT'!$F$3:$F$3000,"&lt;&gt;*Exclude*")))</f>
        <v>#DIV/0!</v>
      </c>
      <c r="I41" s="58" t="e">
        <f>IF($L$2="Yes",(SUMIFS('DATA INPUT'!$C$3:$C$3000,'DATA INPUT'!$A$3:$A$3000,"&gt;="&amp;DATE(2023,1,1),'DATA INPUT'!$A$3:$A$3000,"&lt;="&amp;DATE(2023,12,31),'DATA INPUT'!$B$3:$B$3000,$B41))/(COUNTIFS('DATA INPUT'!$A$3:$A$3000,"&gt;="&amp;DATE(2023,1,1),'DATA INPUT'!$A$3:$A$3000,"&lt;="&amp;DATE(2023,12,31),'DATA INPUT'!$B$3:$B$3000,$B41)),(SUMIFS('DATA INPUT'!$C$3:$C$3000,'DATA INPUT'!$A$3:$A$3000,"&gt;="&amp;DATE(2023,1,1),'DATA INPUT'!$A$3:$A$3000,"&lt;="&amp;DATE(2023,12,31),'DATA INPUT'!$B$3:$B$3000,$B41,'DATA INPUT'!$F$3:$F$3000,"&lt;&gt;*Exclude*"))/(COUNTIFS('DATA INPUT'!$A$3:$A$3000,"&gt;="&amp;DATE(2023,1,1),'DATA INPUT'!$A$3:$A$3000,"&lt;="&amp;DATE(2023,12,31),'DATA INPUT'!$B$3:$B$3000,$B41,'DATA INPUT'!$F$3:$F$3000,"&lt;&gt;*Exclude*")))</f>
        <v>#DIV/0!</v>
      </c>
      <c r="J41" s="58" t="e">
        <f>IF($L$2="Yes",(SUMIFS('DATA INPUT'!$C$3:$C$3000,'DATA INPUT'!$A$3:$A$3000,"&gt;="&amp;DATE(2024,1,1),'DATA INPUT'!$A$3:$A$3000,"&lt;="&amp;DATE(2024,12,31),'DATA INPUT'!$B$3:$B$3000,$B41))/(COUNTIFS('DATA INPUT'!$A$3:$A$3000,"&gt;="&amp;DATE(2024,1,1),'DATA INPUT'!$A$3:$A$3000,"&lt;="&amp;DATE(2024,12,31),'DATA INPUT'!$B$3:$B$3000,$B41)),(SUMIFS('DATA INPUT'!$C$3:$C$3000,'DATA INPUT'!$A$3:$A$3000,"&gt;="&amp;DATE(2024,1,1),'DATA INPUT'!$A$3:$A$3000,"&lt;="&amp;DATE(2024,12,31),'DATA INPUT'!$B$3:$B$3000,$B41,'DATA INPUT'!$F$3:$F$3000,"&lt;&gt;*Exclude*"))/(COUNTIFS('DATA INPUT'!$A$3:$A$3000,"&gt;="&amp;DATE(2024,1,1),'DATA INPUT'!$A$3:$A$3000,"&lt;="&amp;DATE(2024,12,31),'DATA INPUT'!$B$3:$B$3000,$B41,'DATA INPUT'!$F$3:$F$3000,"&lt;&gt;*Exclude*")))</f>
        <v>#DIV/0!</v>
      </c>
      <c r="K41" s="58" t="e">
        <f>IF($L$2="Yes",(SUMIFS('DATA INPUT'!$C$3:$C$3000,'DATA INPUT'!$A$3:$A$3000,"&gt;="&amp;DATE(2025,1,1),'DATA INPUT'!$A$3:$A$3000,"&lt;="&amp;DATE(2025,12,31),'DATA INPUT'!$B$3:$B$3000,$B41))/(COUNTIFS('DATA INPUT'!$A$3:$A$3000,"&gt;="&amp;DATE(2025,1,1),'DATA INPUT'!$A$3:$A$3000,"&lt;="&amp;DATE(2025,12,31),'DATA INPUT'!$B$3:$B$3000,$B41)),(SUMIFS('DATA INPUT'!$C$3:$C$3000,'DATA INPUT'!$A$3:$A$3000,"&gt;="&amp;DATE(2025,1,1),'DATA INPUT'!$A$3:$A$3000,"&lt;="&amp;DATE(2025,12,31),'DATA INPUT'!$B$3:$B$3000,$B41,'DATA INPUT'!$F$3:$F$3000,"&lt;&gt;*Exclude*"))/(COUNTIFS('DATA INPUT'!$A$3:$A$3000,"&gt;="&amp;DATE(2025,1,1),'DATA INPUT'!$A$3:$A$3000,"&lt;="&amp;DATE(2025,12,31),'DATA INPUT'!$B$3:$B$3000,$B41,'DATA INPUT'!$F$3:$F$3000,"&lt;&gt;*Exclude*")))</f>
        <v>#DIV/0!</v>
      </c>
      <c r="L41" s="72" t="str">
        <f t="shared" ref="L41:L49" si="17">IFERROR(SUMIFS(C41:K41,C41:K41,"&lt;&gt;#DIV/0!",C41:K41,"&lt;&gt;#n/a")/(COUNTIF(C41:K41,"&gt;0")),"")</f>
        <v/>
      </c>
      <c r="Y41" s="149"/>
      <c r="Z41" s="149" t="s">
        <v>14</v>
      </c>
      <c r="AA41" s="136" t="e">
        <f>IF($L$2="Yes",IF(SUMIFS('DATA INPUT'!$E$3:$E$3000,'DATA INPUT'!$B$3:$B$3000,'Report Tables'!AA$1,'DATA INPUT'!$A$3:$A$3000,"&gt;="&amp;DATE(2020,3,1),'DATA INPUT'!$A$3:$A$3000,"&lt;"&amp;DATE(2020,3,31))=0,#N/A,(SUMIFS('DATA INPUT'!$E$3:$E$3000,'DATA INPUT'!$B$3:$B$3000,'Report Tables'!AA$1,'DATA INPUT'!$A$3:$A$3000,"&gt;="&amp;DATE(2020,3,1),'DATA INPUT'!$A$3:$A$3000,"&lt;"&amp;DATE(2020,3,31)))),IF(SUMIFS('DATA INPUT'!$E$3:$E$3000,'DATA INPUT'!$B$3:$B$3000,'Report Tables'!AA$1,'DATA INPUT'!$A$3:$A$3000,"&gt;="&amp;DATE(2020,3,1),'DATA INPUT'!$A$3:$A$3000,"&lt;"&amp;DATE(2020,3,31),'DATA INPUT'!$F$3:$F$3000,"&lt;&gt;*Exclude*")=0,#N/A,(SUMIFS('DATA INPUT'!$E$3:$E$3000,'DATA INPUT'!$B$3:$B$3000,'Report Tables'!AA$1,'DATA INPUT'!$A$3:$A$3000,"&gt;="&amp;DATE(2020,3,1),'DATA INPUT'!$A$3:$A$3000,"&lt;"&amp;DATE(2020,3,31),'DATA INPUT'!$F$3:$F$3000,"&lt;&gt;*Exclude*"))))</f>
        <v>#N/A</v>
      </c>
      <c r="AB41" s="136" t="e">
        <f>IF($L$2="Yes",IF(SUMIFS('DATA INPUT'!$E$3:$E$3000,'DATA INPUT'!$B$3:$B$3000,'Report Tables'!AB$1,'DATA INPUT'!$A$3:$A$3000,"&gt;="&amp;DATE(2020,3,1),'DATA INPUT'!$A$3:$A$3000,"&lt;"&amp;DATE(2020,3,31))=0,#N/A,(SUMIFS('DATA INPUT'!$E$3:$E$3000,'DATA INPUT'!$B$3:$B$3000,'Report Tables'!AB$1,'DATA INPUT'!$A$3:$A$3000,"&gt;="&amp;DATE(2020,3,1),'DATA INPUT'!$A$3:$A$3000,"&lt;"&amp;DATE(2020,3,31)))),IF(SUMIFS('DATA INPUT'!$E$3:$E$3000,'DATA INPUT'!$B$3:$B$3000,'Report Tables'!AB$1,'DATA INPUT'!$A$3:$A$3000,"&gt;="&amp;DATE(2020,3,1),'DATA INPUT'!$A$3:$A$3000,"&lt;"&amp;DATE(2020,3,31),'DATA INPUT'!$F$3:$F$3000,"&lt;&gt;*Exclude*")=0,#N/A,(SUMIFS('DATA INPUT'!$E$3:$E$3000,'DATA INPUT'!$B$3:$B$3000,'Report Tables'!AB$1,'DATA INPUT'!$A$3:$A$3000,"&gt;="&amp;DATE(2020,3,1),'DATA INPUT'!$A$3:$A$3000,"&lt;"&amp;DATE(2020,3,31),'DATA INPUT'!$F$3:$F$3000,"&lt;&gt;*Exclude*"))))</f>
        <v>#N/A</v>
      </c>
      <c r="AC41" s="136" t="e">
        <f>IF($L$2="Yes",IF(SUMIFS('DATA INPUT'!$E$3:$E$3000,'DATA INPUT'!$B$3:$B$3000,'Report Tables'!AC$1,'DATA INPUT'!$A$3:$A$3000,"&gt;="&amp;DATE(2020,3,1),'DATA INPUT'!$A$3:$A$3000,"&lt;"&amp;DATE(2020,3,31))=0,#N/A,(SUMIFS('DATA INPUT'!$E$3:$E$3000,'DATA INPUT'!$B$3:$B$3000,'Report Tables'!AC$1,'DATA INPUT'!$A$3:$A$3000,"&gt;="&amp;DATE(2020,3,1),'DATA INPUT'!$A$3:$A$3000,"&lt;"&amp;DATE(2020,3,31)))),IF(SUMIFS('DATA INPUT'!$E$3:$E$3000,'DATA INPUT'!$B$3:$B$3000,'Report Tables'!AC$1,'DATA INPUT'!$A$3:$A$3000,"&gt;="&amp;DATE(2020,3,1),'DATA INPUT'!$A$3:$A$3000,"&lt;"&amp;DATE(2020,3,31),'DATA INPUT'!$F$3:$F$3000,"&lt;&gt;*Exclude*")=0,#N/A,(SUMIFS('DATA INPUT'!$E$3:$E$3000,'DATA INPUT'!$B$3:$B$3000,'Report Tables'!AC$1,'DATA INPUT'!$A$3:$A$3000,"&gt;="&amp;DATE(2020,3,1),'DATA INPUT'!$A$3:$A$3000,"&lt;"&amp;DATE(2020,3,31),'DATA INPUT'!$F$3:$F$3000,"&lt;&gt;*Exclude*"))))</f>
        <v>#N/A</v>
      </c>
      <c r="AD41" s="136" t="e">
        <f>IF($L$2="Yes",IF(SUMIFS('DATA INPUT'!$E$3:$E$3000,'DATA INPUT'!$B$3:$B$3000,'Report Tables'!AD$1,'DATA INPUT'!$A$3:$A$3000,"&gt;="&amp;DATE(2020,3,1),'DATA INPUT'!$A$3:$A$3000,"&lt;"&amp;DATE(2020,3,31))=0,#N/A,(SUMIFS('DATA INPUT'!$E$3:$E$3000,'DATA INPUT'!$B$3:$B$3000,'Report Tables'!AD$1,'DATA INPUT'!$A$3:$A$3000,"&gt;="&amp;DATE(2020,3,1),'DATA INPUT'!$A$3:$A$3000,"&lt;"&amp;DATE(2020,3,31)))),IF(SUMIFS('DATA INPUT'!$E$3:$E$3000,'DATA INPUT'!$B$3:$B$3000,'Report Tables'!AD$1,'DATA INPUT'!$A$3:$A$3000,"&gt;="&amp;DATE(2020,3,1),'DATA INPUT'!$A$3:$A$3000,"&lt;"&amp;DATE(2020,3,31),'DATA INPUT'!$F$3:$F$3000,"&lt;&gt;*Exclude*")=0,#N/A,(SUMIFS('DATA INPUT'!$E$3:$E$3000,'DATA INPUT'!$B$3:$B$3000,'Report Tables'!AD$1,'DATA INPUT'!$A$3:$A$3000,"&gt;="&amp;DATE(2020,3,1),'DATA INPUT'!$A$3:$A$3000,"&lt;"&amp;DATE(2020,3,31),'DATA INPUT'!$F$3:$F$3000,"&lt;&gt;*Exclude*"))))</f>
        <v>#N/A</v>
      </c>
      <c r="AE41" s="136" t="e">
        <f>IF($L$2="Yes",IF(SUMIFS('DATA INPUT'!$E$3:$E$3000,'DATA INPUT'!$B$3:$B$3000,'Report Tables'!AE$1,'DATA INPUT'!$A$3:$A$3000,"&gt;="&amp;DATE(2020,3,1),'DATA INPUT'!$A$3:$A$3000,"&lt;"&amp;DATE(2020,3,31))=0,#N/A,(SUMIFS('DATA INPUT'!$E$3:$E$3000,'DATA INPUT'!$B$3:$B$3000,'Report Tables'!AE$1,'DATA INPUT'!$A$3:$A$3000,"&gt;="&amp;DATE(2020,3,1),'DATA INPUT'!$A$3:$A$3000,"&lt;"&amp;DATE(2020,3,31)))),IF(SUMIFS('DATA INPUT'!$E$3:$E$3000,'DATA INPUT'!$B$3:$B$3000,'Report Tables'!AE$1,'DATA INPUT'!$A$3:$A$3000,"&gt;="&amp;DATE(2020,3,1),'DATA INPUT'!$A$3:$A$3000,"&lt;"&amp;DATE(2020,3,31),'DATA INPUT'!$F$3:$F$3000,"&lt;&gt;*Exclude*")=0,#N/A,(SUMIFS('DATA INPUT'!$E$3:$E$3000,'DATA INPUT'!$B$3:$B$3000,'Report Tables'!AE$1,'DATA INPUT'!$A$3:$A$3000,"&gt;="&amp;DATE(2020,3,1),'DATA INPUT'!$A$3:$A$3000,"&lt;"&amp;DATE(2020,3,31),'DATA INPUT'!$F$3:$F$3000,"&lt;&gt;*Exclude*"))))</f>
        <v>#N/A</v>
      </c>
      <c r="AF41" s="136" t="e">
        <f>IF($L$2="Yes",IF(SUMIFS('DATA INPUT'!$E$3:$E$3000,'DATA INPUT'!$B$3:$B$3000,'Report Tables'!AF$1,'DATA INPUT'!$A$3:$A$3000,"&gt;="&amp;DATE(2020,3,1),'DATA INPUT'!$A$3:$A$3000,"&lt;"&amp;DATE(2020,3,31))=0,#N/A,(SUMIFS('DATA INPUT'!$E$3:$E$3000,'DATA INPUT'!$B$3:$B$3000,'Report Tables'!AF$1,'DATA INPUT'!$A$3:$A$3000,"&gt;="&amp;DATE(2020,3,1),'DATA INPUT'!$A$3:$A$3000,"&lt;"&amp;DATE(2020,3,31)))),IF(SUMIFS('DATA INPUT'!$E$3:$E$3000,'DATA INPUT'!$B$3:$B$3000,'Report Tables'!AF$1,'DATA INPUT'!$A$3:$A$3000,"&gt;="&amp;DATE(2020,3,1),'DATA INPUT'!$A$3:$A$3000,"&lt;"&amp;DATE(2020,3,31),'DATA INPUT'!$F$3:$F$3000,"&lt;&gt;*Exclude*")=0,#N/A,(SUMIFS('DATA INPUT'!$E$3:$E$3000,'DATA INPUT'!$B$3:$B$3000,'Report Tables'!AF$1,'DATA INPUT'!$A$3:$A$3000,"&gt;="&amp;DATE(2020,3,1),'DATA INPUT'!$A$3:$A$3000,"&lt;"&amp;DATE(2020,3,31),'DATA INPUT'!$F$3:$F$3000,"&lt;&gt;*Exclude*"))))</f>
        <v>#N/A</v>
      </c>
      <c r="AG41" s="136" t="e">
        <f>IF($L$2="Yes",IF(SUMIFS('DATA INPUT'!$E$3:$E$3000,'DATA INPUT'!$B$3:$B$3000,'Report Tables'!AG$1,'DATA INPUT'!$A$3:$A$3000,"&gt;="&amp;DATE(2020,3,1),'DATA INPUT'!$A$3:$A$3000,"&lt;"&amp;DATE(2020,3,31))=0,#N/A,(SUMIFS('DATA INPUT'!$E$3:$E$3000,'DATA INPUT'!$B$3:$B$3000,'Report Tables'!AG$1,'DATA INPUT'!$A$3:$A$3000,"&gt;="&amp;DATE(2020,3,1),'DATA INPUT'!$A$3:$A$3000,"&lt;"&amp;DATE(2020,3,31)))),IF(SUMIFS('DATA INPUT'!$E$3:$E$3000,'DATA INPUT'!$B$3:$B$3000,'Report Tables'!AG$1,'DATA INPUT'!$A$3:$A$3000,"&gt;="&amp;DATE(2020,3,1),'DATA INPUT'!$A$3:$A$3000,"&lt;"&amp;DATE(2020,3,31),'DATA INPUT'!$F$3:$F$3000,"&lt;&gt;*Exclude*")=0,#N/A,(SUMIFS('DATA INPUT'!$E$3:$E$3000,'DATA INPUT'!$B$3:$B$3000,'Report Tables'!AG$1,'DATA INPUT'!$A$3:$A$3000,"&gt;="&amp;DATE(2020,3,1),'DATA INPUT'!$A$3:$A$3000,"&lt;"&amp;DATE(2020,3,31),'DATA INPUT'!$F$3:$F$3000,"&lt;&gt;*Exclude*"))))</f>
        <v>#N/A</v>
      </c>
      <c r="AH41" s="136" t="e">
        <f>IF($L$2="Yes",IF(SUMIFS('DATA INPUT'!$E$3:$E$3000,'DATA INPUT'!$B$3:$B$3000,'Report Tables'!AH$1,'DATA INPUT'!$A$3:$A$3000,"&gt;="&amp;DATE(2020,3,1),'DATA INPUT'!$A$3:$A$3000,"&lt;"&amp;DATE(2020,3,31))=0,#N/A,(SUMIFS('DATA INPUT'!$E$3:$E$3000,'DATA INPUT'!$B$3:$B$3000,'Report Tables'!AH$1,'DATA INPUT'!$A$3:$A$3000,"&gt;="&amp;DATE(2020,3,1),'DATA INPUT'!$A$3:$A$3000,"&lt;"&amp;DATE(2020,3,31)))),IF(SUMIFS('DATA INPUT'!$E$3:$E$3000,'DATA INPUT'!$B$3:$B$3000,'Report Tables'!AH$1,'DATA INPUT'!$A$3:$A$3000,"&gt;="&amp;DATE(2020,3,1),'DATA INPUT'!$A$3:$A$3000,"&lt;"&amp;DATE(2020,3,31),'DATA INPUT'!$F$3:$F$3000,"&lt;&gt;*Exclude*")=0,#N/A,(SUMIFS('DATA INPUT'!$E$3:$E$3000,'DATA INPUT'!$B$3:$B$3000,'Report Tables'!AH$1,'DATA INPUT'!$A$3:$A$3000,"&gt;="&amp;DATE(2020,3,1),'DATA INPUT'!$A$3:$A$3000,"&lt;"&amp;DATE(2020,3,31),'DATA INPUT'!$F$3:$F$3000,"&lt;&gt;*Exclude*"))))</f>
        <v>#N/A</v>
      </c>
      <c r="AI41" s="136" t="e">
        <f t="shared" si="0"/>
        <v>#N/A</v>
      </c>
      <c r="AJ41" s="136" t="e">
        <f>IF($L$2="Yes",IF(SUMIFS('DATA INPUT'!$D$3:$D$3000,'DATA INPUT'!$A$3:$A$3000,"&gt;="&amp;DATE(2020,3,1),'DATA INPUT'!$A$3:$A$3000,"&lt;"&amp;DATE(2020,3,31),'DATA INPUT'!$G$3:$G$3000,"&lt;&gt;*School service*")=0,#N/A,(SUMIFS('DATA INPUT'!$D$3:$D$3000,'DATA INPUT'!$A$3:$A$3000,"&gt;="&amp;DATE(2020,3,1),'DATA INPUT'!$A$3:$A$3000,"&lt;"&amp;DATE(2020,3,31),'DATA INPUT'!$G$3:$G$3000,"&lt;&gt;*School service*"))),IF(SUMIFS('DATA INPUT'!$D$3:$D$3000,'DATA INPUT'!$A$3:$A$3000,"&gt;="&amp;DATE(2020,3,1),'DATA INPUT'!$A$3:$A$3000,"&lt;"&amp;DATE(2020,3,31),'DATA INPUT'!$F$3:$F$3000,"&lt;&gt;*Exclude*",'DATA INPUT'!$G$3:$G$3000,"&lt;&gt;*School service*")=0,#N/A,(SUMIFS('DATA INPUT'!$D$3:$D$3000,'DATA INPUT'!$A$3:$A$3000,"&gt;="&amp;DATE(2020,3,1),'DATA INPUT'!$A$3:$A$3000,"&lt;"&amp;DATE(2020,3,31),'DATA INPUT'!$F$3:$F$3000,"&lt;&gt;*Exclude*",'DATA INPUT'!$G$3:$G$3000,"&lt;&gt;*School service*"))))</f>
        <v>#N/A</v>
      </c>
      <c r="AK41" s="136" t="e">
        <f>AI41-AJ41</f>
        <v>#N/A</v>
      </c>
      <c r="AM41" s="117" t="e">
        <f>IF($L$2="Yes",IFERROR((SUMIFS('DATA INPUT'!$E$3:$E$3000,'DATA INPUT'!$B$3:$B$3000,'Report Tables'!AM$1,'DATA INPUT'!$A$3:$A$3000,"&gt;="&amp;DATE(2020,3,1),'DATA INPUT'!$A$3:$A$3000,"&lt;"&amp;DATE(2020,3,31)))/COUNTIFS('DATA INPUT'!$B$3:$B$3000,'Report Tables'!AM$1,'DATA INPUT'!$A$3:$A$3000,"&gt;="&amp;DATE(2020,3,1),'DATA INPUT'!$A$3:$A$3000,"&lt;"&amp;DATE(2020,3,31)),#N/A),IFERROR((SUMIFS('DATA INPUT'!$E$3:$E$3000,'DATA INPUT'!$B$3:$B$3000,'Report Tables'!AM$1,'DATA INPUT'!$A$3:$A$3000,"&gt;="&amp;DATE(2020,3,1),'DATA INPUT'!$A$3:$A$3000,"&lt;"&amp;DATE(2020,3,31),'DATA INPUT'!$F$3:$F$3000,"&lt;&gt;*Exclude*"))/(COUNTIFS('DATA INPUT'!$B$3:$B$3000,'Report Tables'!AM$1,'DATA INPUT'!$A$3:$A$3000,"&gt;="&amp;DATE(2020,3,1),'DATA INPUT'!$A$3:$A$3000,"&lt;"&amp;DATE(2020,3,31),'DATA INPUT'!$F$3:$F$3000,"&lt;&gt;*Exclude*")),#N/A))</f>
        <v>#N/A</v>
      </c>
      <c r="AN41" s="117" t="e">
        <f>IF($L$2="Yes",IFERROR((SUMIFS('DATA INPUT'!$E$3:$E$3000,'DATA INPUT'!$B$3:$B$3000,'Report Tables'!AN$1,'DATA INPUT'!$A$3:$A$3000,"&gt;="&amp;DATE(2020,3,1),'DATA INPUT'!$A$3:$A$3000,"&lt;"&amp;DATE(2020,3,31)))/COUNTIFS('DATA INPUT'!$B$3:$B$3000,'Report Tables'!AN$1,'DATA INPUT'!$A$3:$A$3000,"&gt;="&amp;DATE(2020,3,1),'DATA INPUT'!$A$3:$A$3000,"&lt;"&amp;DATE(2020,3,31)),#N/A),IFERROR((SUMIFS('DATA INPUT'!$E$3:$E$3000,'DATA INPUT'!$B$3:$B$3000,'Report Tables'!AN$1,'DATA INPUT'!$A$3:$A$3000,"&gt;="&amp;DATE(2020,3,1),'DATA INPUT'!$A$3:$A$3000,"&lt;"&amp;DATE(2020,3,31),'DATA INPUT'!$F$3:$F$3000,"&lt;&gt;*Exclude*"))/(COUNTIFS('DATA INPUT'!$B$3:$B$3000,'Report Tables'!AN$1,'DATA INPUT'!$A$3:$A$3000,"&gt;="&amp;DATE(2020,3,1),'DATA INPUT'!$A$3:$A$3000,"&lt;"&amp;DATE(2020,3,31),'DATA INPUT'!$F$3:$F$3000,"&lt;&gt;*Exclude*")),#N/A))</f>
        <v>#N/A</v>
      </c>
      <c r="AO41" s="117" t="e">
        <f>IF($L$2="Yes",IFERROR((SUMIFS('DATA INPUT'!$E$3:$E$3000,'DATA INPUT'!$B$3:$B$3000,'Report Tables'!AO$1,'DATA INPUT'!$A$3:$A$3000,"&gt;="&amp;DATE(2020,3,1),'DATA INPUT'!$A$3:$A$3000,"&lt;"&amp;DATE(2020,3,31)))/COUNTIFS('DATA INPUT'!$B$3:$B$3000,'Report Tables'!AO$1,'DATA INPUT'!$A$3:$A$3000,"&gt;="&amp;DATE(2020,3,1),'DATA INPUT'!$A$3:$A$3000,"&lt;"&amp;DATE(2020,3,31)),#N/A),IFERROR((SUMIFS('DATA INPUT'!$E$3:$E$3000,'DATA INPUT'!$B$3:$B$3000,'Report Tables'!AO$1,'DATA INPUT'!$A$3:$A$3000,"&gt;="&amp;DATE(2020,3,1),'DATA INPUT'!$A$3:$A$3000,"&lt;"&amp;DATE(2020,3,31),'DATA INPUT'!$F$3:$F$3000,"&lt;&gt;*Exclude*"))/(COUNTIFS('DATA INPUT'!$B$3:$B$3000,'Report Tables'!AO$1,'DATA INPUT'!$A$3:$A$3000,"&gt;="&amp;DATE(2020,3,1),'DATA INPUT'!$A$3:$A$3000,"&lt;"&amp;DATE(2020,3,31),'DATA INPUT'!$F$3:$F$3000,"&lt;&gt;*Exclude*")),#N/A))</f>
        <v>#N/A</v>
      </c>
      <c r="AP41" s="117" t="e">
        <f>IF($L$2="Yes",IFERROR((SUMIFS('DATA INPUT'!$E$3:$E$3000,'DATA INPUT'!$B$3:$B$3000,'Report Tables'!AP$1,'DATA INPUT'!$A$3:$A$3000,"&gt;="&amp;DATE(2020,3,1),'DATA INPUT'!$A$3:$A$3000,"&lt;"&amp;DATE(2020,3,31)))/COUNTIFS('DATA INPUT'!$B$3:$B$3000,'Report Tables'!AP$1,'DATA INPUT'!$A$3:$A$3000,"&gt;="&amp;DATE(2020,3,1),'DATA INPUT'!$A$3:$A$3000,"&lt;"&amp;DATE(2020,3,31)),#N/A),IFERROR((SUMIFS('DATA INPUT'!$E$3:$E$3000,'DATA INPUT'!$B$3:$B$3000,'Report Tables'!AP$1,'DATA INPUT'!$A$3:$A$3000,"&gt;="&amp;DATE(2020,3,1),'DATA INPUT'!$A$3:$A$3000,"&lt;"&amp;DATE(2020,3,31),'DATA INPUT'!$F$3:$F$3000,"&lt;&gt;*Exclude*"))/(COUNTIFS('DATA INPUT'!$B$3:$B$3000,'Report Tables'!AP$1,'DATA INPUT'!$A$3:$A$3000,"&gt;="&amp;DATE(2020,3,1),'DATA INPUT'!$A$3:$A$3000,"&lt;"&amp;DATE(2020,3,31),'DATA INPUT'!$F$3:$F$3000,"&lt;&gt;*Exclude*")),#N/A))</f>
        <v>#N/A</v>
      </c>
      <c r="AQ41" s="117" t="e">
        <f>IF($L$2="Yes",IFERROR((SUMIFS('DATA INPUT'!$E$3:$E$3000,'DATA INPUT'!$B$3:$B$3000,'Report Tables'!AQ$1,'DATA INPUT'!$A$3:$A$3000,"&gt;="&amp;DATE(2020,3,1),'DATA INPUT'!$A$3:$A$3000,"&lt;"&amp;DATE(2020,3,31)))/COUNTIFS('DATA INPUT'!$B$3:$B$3000,'Report Tables'!AQ$1,'DATA INPUT'!$A$3:$A$3000,"&gt;="&amp;DATE(2020,3,1),'DATA INPUT'!$A$3:$A$3000,"&lt;"&amp;DATE(2020,3,31)),#N/A),IFERROR((SUMIFS('DATA INPUT'!$E$3:$E$3000,'DATA INPUT'!$B$3:$B$3000,'Report Tables'!AQ$1,'DATA INPUT'!$A$3:$A$3000,"&gt;="&amp;DATE(2020,3,1),'DATA INPUT'!$A$3:$A$3000,"&lt;"&amp;DATE(2020,3,31),'DATA INPUT'!$F$3:$F$3000,"&lt;&gt;*Exclude*"))/(COUNTIFS('DATA INPUT'!$B$3:$B$3000,'Report Tables'!AQ$1,'DATA INPUT'!$A$3:$A$3000,"&gt;="&amp;DATE(2020,3,1),'DATA INPUT'!$A$3:$A$3000,"&lt;"&amp;DATE(2020,3,31),'DATA INPUT'!$F$3:$F$3000,"&lt;&gt;*Exclude*")),#N/A))</f>
        <v>#N/A</v>
      </c>
      <c r="AR41" s="117" t="e">
        <f>IF($L$2="Yes",IFERROR((SUMIFS('DATA INPUT'!$E$3:$E$3000,'DATA INPUT'!$B$3:$B$3000,'Report Tables'!AR$1,'DATA INPUT'!$A$3:$A$3000,"&gt;="&amp;DATE(2020,3,1),'DATA INPUT'!$A$3:$A$3000,"&lt;"&amp;DATE(2020,3,31)))/COUNTIFS('DATA INPUT'!$B$3:$B$3000,'Report Tables'!AR$1,'DATA INPUT'!$A$3:$A$3000,"&gt;="&amp;DATE(2020,3,1),'DATA INPUT'!$A$3:$A$3000,"&lt;"&amp;DATE(2020,3,31)),#N/A),IFERROR((SUMIFS('DATA INPUT'!$E$3:$E$3000,'DATA INPUT'!$B$3:$B$3000,'Report Tables'!AR$1,'DATA INPUT'!$A$3:$A$3000,"&gt;="&amp;DATE(2020,3,1),'DATA INPUT'!$A$3:$A$3000,"&lt;"&amp;DATE(2020,3,31),'DATA INPUT'!$F$3:$F$3000,"&lt;&gt;*Exclude*"))/(COUNTIFS('DATA INPUT'!$B$3:$B$3000,'Report Tables'!AR$1,'DATA INPUT'!$A$3:$A$3000,"&gt;="&amp;DATE(2020,3,1),'DATA INPUT'!$A$3:$A$3000,"&lt;"&amp;DATE(2020,3,31),'DATA INPUT'!$F$3:$F$3000,"&lt;&gt;*Exclude*")),#N/A))</f>
        <v>#N/A</v>
      </c>
      <c r="AS41" s="117" t="e">
        <f>IF($L$2="Yes",IFERROR((SUMIFS('DATA INPUT'!$E$3:$E$3000,'DATA INPUT'!$B$3:$B$3000,'Report Tables'!AS$1,'DATA INPUT'!$A$3:$A$3000,"&gt;="&amp;DATE(2020,3,1),'DATA INPUT'!$A$3:$A$3000,"&lt;"&amp;DATE(2020,3,31)))/COUNTIFS('DATA INPUT'!$B$3:$B$3000,'Report Tables'!AS$1,'DATA INPUT'!$A$3:$A$3000,"&gt;="&amp;DATE(2020,3,1),'DATA INPUT'!$A$3:$A$3000,"&lt;"&amp;DATE(2020,3,31)),#N/A),IFERROR((SUMIFS('DATA INPUT'!$E$3:$E$3000,'DATA INPUT'!$B$3:$B$3000,'Report Tables'!AS$1,'DATA INPUT'!$A$3:$A$3000,"&gt;="&amp;DATE(2020,3,1),'DATA INPUT'!$A$3:$A$3000,"&lt;"&amp;DATE(2020,3,31),'DATA INPUT'!$F$3:$F$3000,"&lt;&gt;*Exclude*"))/(COUNTIFS('DATA INPUT'!$B$3:$B$3000,'Report Tables'!AS$1,'DATA INPUT'!$A$3:$A$3000,"&gt;="&amp;DATE(2020,3,1),'DATA INPUT'!$A$3:$A$3000,"&lt;"&amp;DATE(2020,3,31),'DATA INPUT'!$F$3:$F$3000,"&lt;&gt;*Exclude*")),#N/A))</f>
        <v>#N/A</v>
      </c>
      <c r="AT41" s="117" t="e">
        <f>IF($L$2="Yes",IFERROR((SUMIFS('DATA INPUT'!$E$3:$E$3000,'DATA INPUT'!$B$3:$B$3000,'Report Tables'!AT$1,'DATA INPUT'!$A$3:$A$3000,"&gt;="&amp;DATE(2020,3,1),'DATA INPUT'!$A$3:$A$3000,"&lt;"&amp;DATE(2020,3,31)))/COUNTIFS('DATA INPUT'!$B$3:$B$3000,'Report Tables'!AT$1,'DATA INPUT'!$A$3:$A$3000,"&gt;="&amp;DATE(2020,3,1),'DATA INPUT'!$A$3:$A$3000,"&lt;"&amp;DATE(2020,3,31)),#N/A),IFERROR((SUMIFS('DATA INPUT'!$E$3:$E$3000,'DATA INPUT'!$B$3:$B$3000,'Report Tables'!AT$1,'DATA INPUT'!$A$3:$A$3000,"&gt;="&amp;DATE(2020,3,1),'DATA INPUT'!$A$3:$A$3000,"&lt;"&amp;DATE(2020,3,31),'DATA INPUT'!$F$3:$F$3000,"&lt;&gt;*Exclude*"))/(COUNTIFS('DATA INPUT'!$B$3:$B$3000,'Report Tables'!AT$1,'DATA INPUT'!$A$3:$A$3000,"&gt;="&amp;DATE(2020,3,1),'DATA INPUT'!$A$3:$A$3000,"&lt;"&amp;DATE(2020,3,31),'DATA INPUT'!$F$3:$F$3000,"&lt;&gt;*Exclude*")),#N/A))</f>
        <v>#N/A</v>
      </c>
      <c r="AU41" s="117" t="e">
        <f t="shared" si="1"/>
        <v>#N/A</v>
      </c>
      <c r="AV41" s="117" t="e">
        <f>IF($L$2="Yes",IFERROR((SUMIFS('DATA INPUT'!$D$3:$D$3000,'DATA INPUT'!$A$3:$A$3000,"&gt;="&amp;DATE(2020,3,1),'DATA INPUT'!$A$3:$A$3000,"&lt;"&amp;DATE(2020,3,31),'DATA INPUT'!$G$3:$G$3000,"&lt;&gt;*School service*"))/COUNTIFS('DATA INPUT'!$A$3:$A$3000,"&gt;="&amp;DATE(2020,3,1),'DATA INPUT'!$A$3:$A$3000,"&lt;"&amp;DATE(2020,3,31),'DATA INPUT'!$G$3:$G$3000,"&lt;&gt;*School service*",'DATA INPUT'!$D$3:$D$3000,"&lt;&gt;"&amp;""),#N/A),IFERROR((SUMIFS('DATA INPUT'!$D$3:$D$3000,'DATA INPUT'!$A$3:$A$3000,"&gt;="&amp;DATE(2020,3,1),'DATA INPUT'!$A$3:$A$3000,"&lt;"&amp;DATE(2020,3,31),'DATA INPUT'!$F$3:$F$3000,"&lt;&gt;*Exclude*",'DATA INPUT'!$G$3:$G$3000,"&lt;&gt;*School service*"))/(COUNTIFS('DATA INPUT'!$A$3:$A$3000,"&gt;="&amp;DATE(2020,3,1),'DATA INPUT'!$A$3:$A$3000,"&lt;"&amp;DATE(2020,3,31),'DATA INPUT'!$F$3:$F$3000,"&lt;&gt;*Exclude*",'DATA INPUT'!$G$3:$G$3000,"&lt;&gt;*School service*",'DATA INPUT'!$D$3:$D$3000,"&lt;&gt;"&amp;"")),#N/A))</f>
        <v>#N/A</v>
      </c>
      <c r="AW41" s="117" t="e">
        <f t="shared" si="2"/>
        <v>#N/A</v>
      </c>
      <c r="AX41" s="117" t="e">
        <f>IF($L$2="Yes",IFERROR((SUMIFS('DATA INPUT'!$E$3:$E$3000,'DATA INPUT'!$B$3:$B$3000,'Report Tables'!AX$1,'DATA INPUT'!$A$3:$A$3000,"&gt;="&amp;DATE(2020,3,1),'DATA INPUT'!$A$3:$A$3000,"&lt;"&amp;DATE(2020,3,31)))/COUNTIFS('DATA INPUT'!$B$3:$B$3000,'Report Tables'!AX$1,'DATA INPUT'!$A$3:$A$3000,"&gt;="&amp;DATE(2020,3,1),'DATA INPUT'!$A$3:$A$3000,"&lt;"&amp;DATE(2020,3,31)),#N/A),IFERROR((SUMIFS('DATA INPUT'!$E$3:$E$3000,'DATA INPUT'!$B$3:$B$3000,'Report Tables'!AX$1,'DATA INPUT'!$A$3:$A$3000,"&gt;="&amp;DATE(2020,3,1),'DATA INPUT'!$A$3:$A$3000,"&lt;"&amp;DATE(2020,3,31),'DATA INPUT'!$F$3:$F$3000,"&lt;&gt;*Exclude*"))/(COUNTIFS('DATA INPUT'!$B$3:$B$3000,'Report Tables'!AX$1,'DATA INPUT'!$A$3:$A$3000,"&gt;="&amp;DATE(2020,3,1),'DATA INPUT'!$A$3:$A$3000,"&lt;"&amp;DATE(2020,3,31),'DATA INPUT'!$F$3:$F$3000,"&lt;&gt;*Exclude*")),#N/A))</f>
        <v>#N/A</v>
      </c>
      <c r="AY41" s="117" t="e">
        <f>IF($L$2="Yes",IFERROR((SUMIFS('DATA INPUT'!$D$3:$D$3000,'DATA INPUT'!$B$3:$B$3000,'Report Tables'!AX$1,'DATA INPUT'!$A$3:$A$3000,"&gt;="&amp;DATE(2020,3,1),'DATA INPUT'!$A$3:$A$3000,"&lt;"&amp;DATE(2020,3,31)))/COUNTIFS('DATA INPUT'!$B$3:$B$3000,'Report Tables'!AX$1,'DATA INPUT'!$A$3:$A$3000,"&gt;="&amp;DATE(2020,3,1),'DATA INPUT'!$A$3:$A$3000,"&lt;"&amp;DATE(2020,3,31)),#N/A),IFERROR((SUMIFS('DATA INPUT'!$D$3:$D$3000,'DATA INPUT'!$B$3:$B$3000,'Report Tables'!AX$1,'DATA INPUT'!$A$3:$A$3000,"&gt;="&amp;DATE(2020,3,1),'DATA INPUT'!$A$3:$A$3000,"&lt;"&amp;DATE(2020,3,31),'DATA INPUT'!$F$3:$F$3000,"&lt;&gt;*Exclude*"))/(COUNTIFS('DATA INPUT'!$B$3:$B$3000,'Report Tables'!AX$1,'DATA INPUT'!$A$3:$A$3000,"&gt;="&amp;DATE(2020,3,1),'DATA INPUT'!$A$3:$A$3000,"&lt;"&amp;DATE(2020,3,31),'DATA INPUT'!$F$3:$F$3000,"&lt;&gt;*Exclude*")),#N/A))</f>
        <v>#N/A</v>
      </c>
      <c r="AZ41" s="117" t="e">
        <f>IF($L$2="Yes",IFERROR((SUMIFS('DATA INPUT'!$C$3:$C$3000,'DATA INPUT'!$B$3:$B$3000,'Report Tables'!AX$1,'DATA INPUT'!$A$3:$A$3000,"&gt;="&amp;DATE(2020,3,1),'DATA INPUT'!$A$3:$A$3000,"&lt;"&amp;DATE(2020,3,31)))/COUNTIFS('DATA INPUT'!$B$3:$B$3000,'Report Tables'!AX$1,'DATA INPUT'!$A$3:$A$3000,"&gt;="&amp;DATE(2020,3,1),'DATA INPUT'!$A$3:$A$3000,"&lt;"&amp;DATE(2020,3,31)),#N/A),IFERROR((SUMIFS('DATA INPUT'!$C$3:$C$3000,'DATA INPUT'!$B$3:$B$3000,'Report Tables'!AX$1,'DATA INPUT'!$A$3:$A$3000,"&gt;="&amp;DATE(2020,3,1),'DATA INPUT'!$A$3:$A$3000,"&lt;"&amp;DATE(2020,3,31),'DATA INPUT'!$F$3:$F$3000,"&lt;&gt;*Exclude*"))/(COUNTIFS('DATA INPUT'!$B$3:$B$3000,'Report Tables'!AX$1,'DATA INPUT'!$A$3:$A$3000,"&gt;="&amp;DATE(2020,3,1),'DATA INPUT'!$A$3:$A$3000,"&lt;"&amp;DATE(2020,3,31),'DATA INPUT'!$F$3:$F$3000,"&lt;&gt;*Exclude*")),#N/A))</f>
        <v>#N/A</v>
      </c>
    </row>
    <row r="42" spans="1:52" x14ac:dyDescent="0.3">
      <c r="A42" s="95" t="e">
        <f>VLOOKUP(B42,Information!$C$8:$F$15,4,FALSE)</f>
        <v>#N/A</v>
      </c>
      <c r="B42" s="53">
        <f>$B$6</f>
        <v>0</v>
      </c>
      <c r="C42" s="58" t="e">
        <f>IF($L$2="Yes",(SUMIFS('DATA INPUT'!$C$3:$C$3000,'DATA INPUT'!$A$3:$A$3000,"&gt;="&amp;DATE(2017,1,1),'DATA INPUT'!$A$3:$A$3000,"&lt;="&amp;DATE(2017,12,31),'DATA INPUT'!$B$3:$B$3000,$B42))/(COUNTIFS('DATA INPUT'!$A$3:$A$3000,"&gt;="&amp;DATE(2017,1,1),'DATA INPUT'!$A$3:$A$3000,"&lt;="&amp;DATE(2017,12,31),'DATA INPUT'!$B$3:$B$3000,$B42)),(SUMIFS('DATA INPUT'!$C$3:$C$3000,'DATA INPUT'!$A$3:$A$3000,"&gt;="&amp;DATE(2017,1,1),'DATA INPUT'!$A$3:$A$3000,"&lt;="&amp;DATE(2017,12,31),'DATA INPUT'!$B$3:$B$3000,$B42,'DATA INPUT'!$F$3:$F$3000,"&lt;&gt;*Exclude*"))/(COUNTIFS('DATA INPUT'!$A$3:$A$3000,"&gt;="&amp;DATE(2017,1,1),'DATA INPUT'!$A$3:$A$3000,"&lt;="&amp;DATE(2017,12,31),'DATA INPUT'!$B$3:$B$3000,$B42,'DATA INPUT'!$F$3:$F$3000,"&lt;&gt;*Exclude*")))</f>
        <v>#DIV/0!</v>
      </c>
      <c r="D42" s="58" t="e">
        <f>IF($L$2="Yes",(SUMIFS('DATA INPUT'!$C$3:$C$3000,'DATA INPUT'!$A$3:$A$3000,"&gt;="&amp;DATE(2018,1,1),'DATA INPUT'!$A$3:$A$3000,"&lt;="&amp;DATE(2018,12,31),'DATA INPUT'!$B$3:$B$3000,$B42))/(COUNTIFS('DATA INPUT'!$A$3:$A$3000,"&gt;="&amp;DATE(2018,1,1),'DATA INPUT'!$A$3:$A$3000,"&lt;="&amp;DATE(2018,12,31),'DATA INPUT'!$B$3:$B$3000,$B42)),(SUMIFS('DATA INPUT'!$C$3:$C$3000,'DATA INPUT'!$A$3:$A$3000,"&gt;="&amp;DATE(2018,1,1),'DATA INPUT'!$A$3:$A$3000,"&lt;="&amp;DATE(2018,12,31),'DATA INPUT'!$B$3:$B$3000,$B42,'DATA INPUT'!$F$3:$F$3000,"&lt;&gt;*Exclude*"))/(COUNTIFS('DATA INPUT'!$A$3:$A$3000,"&gt;="&amp;DATE(2018,1,1),'DATA INPUT'!$A$3:$A$3000,"&lt;="&amp;DATE(2018,12,31),'DATA INPUT'!$B$3:$B$3000,$B42,'DATA INPUT'!$F$3:$F$3000,"&lt;&gt;*Exclude*")))</f>
        <v>#DIV/0!</v>
      </c>
      <c r="E42" s="58" t="e">
        <f>IF($L$2="Yes",(SUMIFS('DATA INPUT'!$C$3:$C$3000,'DATA INPUT'!$A$3:$A$3000,"&gt;="&amp;DATE(2019,1,1),'DATA INPUT'!$A$3:$A$3000,"&lt;="&amp;DATE(2019,12,31),'DATA INPUT'!$B$3:$B$3000,$B42))/(COUNTIFS('DATA INPUT'!$A$3:$A$3000,"&gt;="&amp;DATE(2019,1,1),'DATA INPUT'!$A$3:$A$3000,"&lt;="&amp;DATE(2019,12,31),'DATA INPUT'!$B$3:$B$3000,$B42)),(SUMIFS('DATA INPUT'!$C$3:$C$3000,'DATA INPUT'!$A$3:$A$3000,"&gt;="&amp;DATE(2019,1,1),'DATA INPUT'!$A$3:$A$3000,"&lt;="&amp;DATE(2019,12,31),'DATA INPUT'!$B$3:$B$3000,$B42,'DATA INPUT'!$F$3:$F$3000,"&lt;&gt;*Exclude*"))/(COUNTIFS('DATA INPUT'!$A$3:$A$3000,"&gt;="&amp;DATE(2019,1,1),'DATA INPUT'!$A$3:$A$3000,"&lt;="&amp;DATE(2019,12,31),'DATA INPUT'!$B$3:$B$3000,$B42,'DATA INPUT'!$F$3:$F$3000,"&lt;&gt;*Exclude*")))</f>
        <v>#DIV/0!</v>
      </c>
      <c r="F42" s="58" t="e">
        <f>IF($L$2="Yes",(SUMIFS('DATA INPUT'!$C$3:$C$3000,'DATA INPUT'!$A$3:$A$3000,"&gt;="&amp;DATE(2020,1,1),'DATA INPUT'!$A$3:$A$3000,"&lt;="&amp;DATE(2020,12,31),'DATA INPUT'!$B$3:$B$3000,$B42))/(COUNTIFS('DATA INPUT'!$A$3:$A$3000,"&gt;="&amp;DATE(2020,1,1),'DATA INPUT'!$A$3:$A$3000,"&lt;="&amp;DATE(2020,12,31),'DATA INPUT'!$B$3:$B$3000,$B42)),(SUMIFS('DATA INPUT'!$C$3:$C$3000,'DATA INPUT'!$A$3:$A$3000,"&gt;="&amp;DATE(2020,1,1),'DATA INPUT'!$A$3:$A$3000,"&lt;="&amp;DATE(2020,12,31),'DATA INPUT'!$B$3:$B$3000,$B42,'DATA INPUT'!$F$3:$F$3000,"&lt;&gt;*Exclude*"))/(COUNTIFS('DATA INPUT'!$A$3:$A$3000,"&gt;="&amp;DATE(2020,1,1),'DATA INPUT'!$A$3:$A$3000,"&lt;="&amp;DATE(2020,12,31),'DATA INPUT'!$B$3:$B$3000,$B42,'DATA INPUT'!$F$3:$F$3000,"&lt;&gt;*Exclude*")))</f>
        <v>#DIV/0!</v>
      </c>
      <c r="G42" s="58" t="e">
        <f>IF($L$2="Yes",(SUMIFS('DATA INPUT'!$C$3:$C$3000,'DATA INPUT'!$A$3:$A$3000,"&gt;="&amp;DATE(2021,1,1),'DATA INPUT'!$A$3:$A$3000,"&lt;="&amp;DATE(2021,12,31),'DATA INPUT'!$B$3:$B$3000,$B42))/(COUNTIFS('DATA INPUT'!$A$3:$A$3000,"&gt;="&amp;DATE(2021,1,1),'DATA INPUT'!$A$3:$A$3000,"&lt;="&amp;DATE(2021,12,31),'DATA INPUT'!$B$3:$B$3000,$B42)),(SUMIFS('DATA INPUT'!$C$3:$C$3000,'DATA INPUT'!$A$3:$A$3000,"&gt;="&amp;DATE(2021,1,1),'DATA INPUT'!$A$3:$A$3000,"&lt;="&amp;DATE(2021,12,31),'DATA INPUT'!$B$3:$B$3000,$B42,'DATA INPUT'!$F$3:$F$3000,"&lt;&gt;*Exclude*"))/(COUNTIFS('DATA INPUT'!$A$3:$A$3000,"&gt;="&amp;DATE(2021,1,1),'DATA INPUT'!$A$3:$A$3000,"&lt;="&amp;DATE(2021,12,31),'DATA INPUT'!$B$3:$B$3000,$B42,'DATA INPUT'!$F$3:$F$3000,"&lt;&gt;*Exclude*")))</f>
        <v>#DIV/0!</v>
      </c>
      <c r="H42" s="58" t="e">
        <f>IF($L$2="Yes",(SUMIFS('DATA INPUT'!$C$3:$C$3000,'DATA INPUT'!$A$3:$A$3000,"&gt;="&amp;DATE(2022,1,1),'DATA INPUT'!$A$3:$A$3000,"&lt;="&amp;DATE(2022,12,31),'DATA INPUT'!$B$3:$B$3000,$B42))/(COUNTIFS('DATA INPUT'!$A$3:$A$3000,"&gt;="&amp;DATE(2022,1,1),'DATA INPUT'!$A$3:$A$3000,"&lt;="&amp;DATE(2022,12,31),'DATA INPUT'!$B$3:$B$3000,$B42)),(SUMIFS('DATA INPUT'!$C$3:$C$3000,'DATA INPUT'!$A$3:$A$3000,"&gt;="&amp;DATE(2022,1,1),'DATA INPUT'!$A$3:$A$3000,"&lt;="&amp;DATE(2022,12,31),'DATA INPUT'!$B$3:$B$3000,$B42,'DATA INPUT'!$F$3:$F$3000,"&lt;&gt;*Exclude*"))/(COUNTIFS('DATA INPUT'!$A$3:$A$3000,"&gt;="&amp;DATE(2022,1,1),'DATA INPUT'!$A$3:$A$3000,"&lt;="&amp;DATE(2022,12,31),'DATA INPUT'!$B$3:$B$3000,$B42,'DATA INPUT'!$F$3:$F$3000,"&lt;&gt;*Exclude*")))</f>
        <v>#DIV/0!</v>
      </c>
      <c r="I42" s="58" t="e">
        <f>IF($L$2="Yes",(SUMIFS('DATA INPUT'!$C$3:$C$3000,'DATA INPUT'!$A$3:$A$3000,"&gt;="&amp;DATE(2023,1,1),'DATA INPUT'!$A$3:$A$3000,"&lt;="&amp;DATE(2023,12,31),'DATA INPUT'!$B$3:$B$3000,$B42))/(COUNTIFS('DATA INPUT'!$A$3:$A$3000,"&gt;="&amp;DATE(2023,1,1),'DATA INPUT'!$A$3:$A$3000,"&lt;="&amp;DATE(2023,12,31),'DATA INPUT'!$B$3:$B$3000,$B42)),(SUMIFS('DATA INPUT'!$C$3:$C$3000,'DATA INPUT'!$A$3:$A$3000,"&gt;="&amp;DATE(2023,1,1),'DATA INPUT'!$A$3:$A$3000,"&lt;="&amp;DATE(2023,12,31),'DATA INPUT'!$B$3:$B$3000,$B42,'DATA INPUT'!$F$3:$F$3000,"&lt;&gt;*Exclude*"))/(COUNTIFS('DATA INPUT'!$A$3:$A$3000,"&gt;="&amp;DATE(2023,1,1),'DATA INPUT'!$A$3:$A$3000,"&lt;="&amp;DATE(2023,12,31),'DATA INPUT'!$B$3:$B$3000,$B42,'DATA INPUT'!$F$3:$F$3000,"&lt;&gt;*Exclude*")))</f>
        <v>#DIV/0!</v>
      </c>
      <c r="J42" s="58" t="e">
        <f>IF($L$2="Yes",(SUMIFS('DATA INPUT'!$C$3:$C$3000,'DATA INPUT'!$A$3:$A$3000,"&gt;="&amp;DATE(2024,1,1),'DATA INPUT'!$A$3:$A$3000,"&lt;="&amp;DATE(2024,12,31),'DATA INPUT'!$B$3:$B$3000,$B42))/(COUNTIFS('DATA INPUT'!$A$3:$A$3000,"&gt;="&amp;DATE(2024,1,1),'DATA INPUT'!$A$3:$A$3000,"&lt;="&amp;DATE(2024,12,31),'DATA INPUT'!$B$3:$B$3000,$B42)),(SUMIFS('DATA INPUT'!$C$3:$C$3000,'DATA INPUT'!$A$3:$A$3000,"&gt;="&amp;DATE(2024,1,1),'DATA INPUT'!$A$3:$A$3000,"&lt;="&amp;DATE(2024,12,31),'DATA INPUT'!$B$3:$B$3000,$B42,'DATA INPUT'!$F$3:$F$3000,"&lt;&gt;*Exclude*"))/(COUNTIFS('DATA INPUT'!$A$3:$A$3000,"&gt;="&amp;DATE(2024,1,1),'DATA INPUT'!$A$3:$A$3000,"&lt;="&amp;DATE(2024,12,31),'DATA INPUT'!$B$3:$B$3000,$B42,'DATA INPUT'!$F$3:$F$3000,"&lt;&gt;*Exclude*")))</f>
        <v>#DIV/0!</v>
      </c>
      <c r="K42" s="58" t="e">
        <f>IF($L$2="Yes",(SUMIFS('DATA INPUT'!$C$3:$C$3000,'DATA INPUT'!$A$3:$A$3000,"&gt;="&amp;DATE(2025,1,1),'DATA INPUT'!$A$3:$A$3000,"&lt;="&amp;DATE(2025,12,31),'DATA INPUT'!$B$3:$B$3000,$B42))/(COUNTIFS('DATA INPUT'!$A$3:$A$3000,"&gt;="&amp;DATE(2025,1,1),'DATA INPUT'!$A$3:$A$3000,"&lt;="&amp;DATE(2025,12,31),'DATA INPUT'!$B$3:$B$3000,$B42)),(SUMIFS('DATA INPUT'!$C$3:$C$3000,'DATA INPUT'!$A$3:$A$3000,"&gt;="&amp;DATE(2025,1,1),'DATA INPUT'!$A$3:$A$3000,"&lt;="&amp;DATE(2025,12,31),'DATA INPUT'!$B$3:$B$3000,$B42,'DATA INPUT'!$F$3:$F$3000,"&lt;&gt;*Exclude*"))/(COUNTIFS('DATA INPUT'!$A$3:$A$3000,"&gt;="&amp;DATE(2025,1,1),'DATA INPUT'!$A$3:$A$3000,"&lt;="&amp;DATE(2025,12,31),'DATA INPUT'!$B$3:$B$3000,$B42,'DATA INPUT'!$F$3:$F$3000,"&lt;&gt;*Exclude*")))</f>
        <v>#DIV/0!</v>
      </c>
      <c r="L42" s="72" t="str">
        <f t="shared" si="17"/>
        <v/>
      </c>
      <c r="Y42" s="149"/>
      <c r="Z42" s="149" t="s">
        <v>15</v>
      </c>
      <c r="AA42" s="136" t="e">
        <f>IF($L$2="Yes",IF(SUMIFS('DATA INPUT'!$E$3:$E$3000,'DATA INPUT'!$B$3:$B$3000,'Report Tables'!AA$1,'DATA INPUT'!$A$3:$A$3000,"&gt;="&amp;DATE(2020,4,1),'DATA INPUT'!$A$3:$A$3000,"&lt;"&amp;DATE(2020,4,31))=0,#N/A,(SUMIFS('DATA INPUT'!$E$3:$E$3000,'DATA INPUT'!$B$3:$B$3000,'Report Tables'!AA$1,'DATA INPUT'!$A$3:$A$3000,"&gt;="&amp;DATE(2020,4,1),'DATA INPUT'!$A$3:$A$3000,"&lt;"&amp;DATE(2020,4,31)))),IF(SUMIFS('DATA INPUT'!$E$3:$E$3000,'DATA INPUT'!$B$3:$B$3000,'Report Tables'!AA$1,'DATA INPUT'!$A$3:$A$3000,"&gt;="&amp;DATE(2020,4,1),'DATA INPUT'!$A$3:$A$3000,"&lt;"&amp;DATE(2020,4,31),'DATA INPUT'!$F$3:$F$3000,"&lt;&gt;*Exclude*")=0,#N/A,(SUMIFS('DATA INPUT'!$E$3:$E$3000,'DATA INPUT'!$B$3:$B$3000,'Report Tables'!AA$1,'DATA INPUT'!$A$3:$A$3000,"&gt;="&amp;DATE(2020,4,1),'DATA INPUT'!$A$3:$A$3000,"&lt;"&amp;DATE(2020,4,31),'DATA INPUT'!$F$3:$F$3000,"&lt;&gt;*Exclude*"))))</f>
        <v>#N/A</v>
      </c>
      <c r="AB42" s="136" t="e">
        <f>IF($L$2="Yes",IF(SUMIFS('DATA INPUT'!$E$3:$E$3000,'DATA INPUT'!$B$3:$B$3000,'Report Tables'!AB$1,'DATA INPUT'!$A$3:$A$3000,"&gt;="&amp;DATE(2020,4,1),'DATA INPUT'!$A$3:$A$3000,"&lt;"&amp;DATE(2020,4,31))=0,#N/A,(SUMIFS('DATA INPUT'!$E$3:$E$3000,'DATA INPUT'!$B$3:$B$3000,'Report Tables'!AB$1,'DATA INPUT'!$A$3:$A$3000,"&gt;="&amp;DATE(2020,4,1),'DATA INPUT'!$A$3:$A$3000,"&lt;"&amp;DATE(2020,4,31)))),IF(SUMIFS('DATA INPUT'!$E$3:$E$3000,'DATA INPUT'!$B$3:$B$3000,'Report Tables'!AB$1,'DATA INPUT'!$A$3:$A$3000,"&gt;="&amp;DATE(2020,4,1),'DATA INPUT'!$A$3:$A$3000,"&lt;"&amp;DATE(2020,4,31),'DATA INPUT'!$F$3:$F$3000,"&lt;&gt;*Exclude*")=0,#N/A,(SUMIFS('DATA INPUT'!$E$3:$E$3000,'DATA INPUT'!$B$3:$B$3000,'Report Tables'!AB$1,'DATA INPUT'!$A$3:$A$3000,"&gt;="&amp;DATE(2020,4,1),'DATA INPUT'!$A$3:$A$3000,"&lt;"&amp;DATE(2020,4,31),'DATA INPUT'!$F$3:$F$3000,"&lt;&gt;*Exclude*"))))</f>
        <v>#N/A</v>
      </c>
      <c r="AC42" s="136" t="e">
        <f>IF($L$2="Yes",IF(SUMIFS('DATA INPUT'!$E$3:$E$3000,'DATA INPUT'!$B$3:$B$3000,'Report Tables'!AC$1,'DATA INPUT'!$A$3:$A$3000,"&gt;="&amp;DATE(2020,4,1),'DATA INPUT'!$A$3:$A$3000,"&lt;"&amp;DATE(2020,4,31))=0,#N/A,(SUMIFS('DATA INPUT'!$E$3:$E$3000,'DATA INPUT'!$B$3:$B$3000,'Report Tables'!AC$1,'DATA INPUT'!$A$3:$A$3000,"&gt;="&amp;DATE(2020,4,1),'DATA INPUT'!$A$3:$A$3000,"&lt;"&amp;DATE(2020,4,31)))),IF(SUMIFS('DATA INPUT'!$E$3:$E$3000,'DATA INPUT'!$B$3:$B$3000,'Report Tables'!AC$1,'DATA INPUT'!$A$3:$A$3000,"&gt;="&amp;DATE(2020,4,1),'DATA INPUT'!$A$3:$A$3000,"&lt;"&amp;DATE(2020,4,31),'DATA INPUT'!$F$3:$F$3000,"&lt;&gt;*Exclude*")=0,#N/A,(SUMIFS('DATA INPUT'!$E$3:$E$3000,'DATA INPUT'!$B$3:$B$3000,'Report Tables'!AC$1,'DATA INPUT'!$A$3:$A$3000,"&gt;="&amp;DATE(2020,4,1),'DATA INPUT'!$A$3:$A$3000,"&lt;"&amp;DATE(2020,4,31),'DATA INPUT'!$F$3:$F$3000,"&lt;&gt;*Exclude*"))))</f>
        <v>#N/A</v>
      </c>
      <c r="AD42" s="136" t="e">
        <f>IF($L$2="Yes",IF(SUMIFS('DATA INPUT'!$E$3:$E$3000,'DATA INPUT'!$B$3:$B$3000,'Report Tables'!AD$1,'DATA INPUT'!$A$3:$A$3000,"&gt;="&amp;DATE(2020,4,1),'DATA INPUT'!$A$3:$A$3000,"&lt;"&amp;DATE(2020,4,31))=0,#N/A,(SUMIFS('DATA INPUT'!$E$3:$E$3000,'DATA INPUT'!$B$3:$B$3000,'Report Tables'!AD$1,'DATA INPUT'!$A$3:$A$3000,"&gt;="&amp;DATE(2020,4,1),'DATA INPUT'!$A$3:$A$3000,"&lt;"&amp;DATE(2020,4,31)))),IF(SUMIFS('DATA INPUT'!$E$3:$E$3000,'DATA INPUT'!$B$3:$B$3000,'Report Tables'!AD$1,'DATA INPUT'!$A$3:$A$3000,"&gt;="&amp;DATE(2020,4,1),'DATA INPUT'!$A$3:$A$3000,"&lt;"&amp;DATE(2020,4,31),'DATA INPUT'!$F$3:$F$3000,"&lt;&gt;*Exclude*")=0,#N/A,(SUMIFS('DATA INPUT'!$E$3:$E$3000,'DATA INPUT'!$B$3:$B$3000,'Report Tables'!AD$1,'DATA INPUT'!$A$3:$A$3000,"&gt;="&amp;DATE(2020,4,1),'DATA INPUT'!$A$3:$A$3000,"&lt;"&amp;DATE(2020,4,31),'DATA INPUT'!$F$3:$F$3000,"&lt;&gt;*Exclude*"))))</f>
        <v>#N/A</v>
      </c>
      <c r="AE42" s="136" t="e">
        <f>IF($L$2="Yes",IF(SUMIFS('DATA INPUT'!$E$3:$E$3000,'DATA INPUT'!$B$3:$B$3000,'Report Tables'!AE$1,'DATA INPUT'!$A$3:$A$3000,"&gt;="&amp;DATE(2020,4,1),'DATA INPUT'!$A$3:$A$3000,"&lt;"&amp;DATE(2020,4,31))=0,#N/A,(SUMIFS('DATA INPUT'!$E$3:$E$3000,'DATA INPUT'!$B$3:$B$3000,'Report Tables'!AE$1,'DATA INPUT'!$A$3:$A$3000,"&gt;="&amp;DATE(2020,4,1),'DATA INPUT'!$A$3:$A$3000,"&lt;"&amp;DATE(2020,4,31)))),IF(SUMIFS('DATA INPUT'!$E$3:$E$3000,'DATA INPUT'!$B$3:$B$3000,'Report Tables'!AE$1,'DATA INPUT'!$A$3:$A$3000,"&gt;="&amp;DATE(2020,4,1),'DATA INPUT'!$A$3:$A$3000,"&lt;"&amp;DATE(2020,4,31),'DATA INPUT'!$F$3:$F$3000,"&lt;&gt;*Exclude*")=0,#N/A,(SUMIFS('DATA INPUT'!$E$3:$E$3000,'DATA INPUT'!$B$3:$B$3000,'Report Tables'!AE$1,'DATA INPUT'!$A$3:$A$3000,"&gt;="&amp;DATE(2020,4,1),'DATA INPUT'!$A$3:$A$3000,"&lt;"&amp;DATE(2020,4,31),'DATA INPUT'!$F$3:$F$3000,"&lt;&gt;*Exclude*"))))</f>
        <v>#N/A</v>
      </c>
      <c r="AF42" s="136" t="e">
        <f>IF($L$2="Yes",IF(SUMIFS('DATA INPUT'!$E$3:$E$3000,'DATA INPUT'!$B$3:$B$3000,'Report Tables'!AF$1,'DATA INPUT'!$A$3:$A$3000,"&gt;="&amp;DATE(2020,4,1),'DATA INPUT'!$A$3:$A$3000,"&lt;"&amp;DATE(2020,4,31))=0,#N/A,(SUMIFS('DATA INPUT'!$E$3:$E$3000,'DATA INPUT'!$B$3:$B$3000,'Report Tables'!AF$1,'DATA INPUT'!$A$3:$A$3000,"&gt;="&amp;DATE(2020,4,1),'DATA INPUT'!$A$3:$A$3000,"&lt;"&amp;DATE(2020,4,31)))),IF(SUMIFS('DATA INPUT'!$E$3:$E$3000,'DATA INPUT'!$B$3:$B$3000,'Report Tables'!AF$1,'DATA INPUT'!$A$3:$A$3000,"&gt;="&amp;DATE(2020,4,1),'DATA INPUT'!$A$3:$A$3000,"&lt;"&amp;DATE(2020,4,31),'DATA INPUT'!$F$3:$F$3000,"&lt;&gt;*Exclude*")=0,#N/A,(SUMIFS('DATA INPUT'!$E$3:$E$3000,'DATA INPUT'!$B$3:$B$3000,'Report Tables'!AF$1,'DATA INPUT'!$A$3:$A$3000,"&gt;="&amp;DATE(2020,4,1),'DATA INPUT'!$A$3:$A$3000,"&lt;"&amp;DATE(2020,4,31),'DATA INPUT'!$F$3:$F$3000,"&lt;&gt;*Exclude*"))))</f>
        <v>#N/A</v>
      </c>
      <c r="AG42" s="136" t="e">
        <f>IF($L$2="Yes",IF(SUMIFS('DATA INPUT'!$E$3:$E$3000,'DATA INPUT'!$B$3:$B$3000,'Report Tables'!AG$1,'DATA INPUT'!$A$3:$A$3000,"&gt;="&amp;DATE(2020,4,1),'DATA INPUT'!$A$3:$A$3000,"&lt;"&amp;DATE(2020,4,31))=0,#N/A,(SUMIFS('DATA INPUT'!$E$3:$E$3000,'DATA INPUT'!$B$3:$B$3000,'Report Tables'!AG$1,'DATA INPUT'!$A$3:$A$3000,"&gt;="&amp;DATE(2020,4,1),'DATA INPUT'!$A$3:$A$3000,"&lt;"&amp;DATE(2020,4,31)))),IF(SUMIFS('DATA INPUT'!$E$3:$E$3000,'DATA INPUT'!$B$3:$B$3000,'Report Tables'!AG$1,'DATA INPUT'!$A$3:$A$3000,"&gt;="&amp;DATE(2020,4,1),'DATA INPUT'!$A$3:$A$3000,"&lt;"&amp;DATE(2020,4,31),'DATA INPUT'!$F$3:$F$3000,"&lt;&gt;*Exclude*")=0,#N/A,(SUMIFS('DATA INPUT'!$E$3:$E$3000,'DATA INPUT'!$B$3:$B$3000,'Report Tables'!AG$1,'DATA INPUT'!$A$3:$A$3000,"&gt;="&amp;DATE(2020,4,1),'DATA INPUT'!$A$3:$A$3000,"&lt;"&amp;DATE(2020,4,31),'DATA INPUT'!$F$3:$F$3000,"&lt;&gt;*Exclude*"))))</f>
        <v>#N/A</v>
      </c>
      <c r="AH42" s="136" t="e">
        <f>IF($L$2="Yes",IF(SUMIFS('DATA INPUT'!$E$3:$E$3000,'DATA INPUT'!$B$3:$B$3000,'Report Tables'!AH$1,'DATA INPUT'!$A$3:$A$3000,"&gt;="&amp;DATE(2020,4,1),'DATA INPUT'!$A$3:$A$3000,"&lt;"&amp;DATE(2020,4,31))=0,#N/A,(SUMIFS('DATA INPUT'!$E$3:$E$3000,'DATA INPUT'!$B$3:$B$3000,'Report Tables'!AH$1,'DATA INPUT'!$A$3:$A$3000,"&gt;="&amp;DATE(2020,4,1),'DATA INPUT'!$A$3:$A$3000,"&lt;"&amp;DATE(2020,4,31)))),IF(SUMIFS('DATA INPUT'!$E$3:$E$3000,'DATA INPUT'!$B$3:$B$3000,'Report Tables'!AH$1,'DATA INPUT'!$A$3:$A$3000,"&gt;="&amp;DATE(2020,4,1),'DATA INPUT'!$A$3:$A$3000,"&lt;"&amp;DATE(2020,4,31),'DATA INPUT'!$F$3:$F$3000,"&lt;&gt;*Exclude*")=0,#N/A,(SUMIFS('DATA INPUT'!$E$3:$E$3000,'DATA INPUT'!$B$3:$B$3000,'Report Tables'!AH$1,'DATA INPUT'!$A$3:$A$3000,"&gt;="&amp;DATE(2020,4,1),'DATA INPUT'!$A$3:$A$3000,"&lt;"&amp;DATE(2020,4,31),'DATA INPUT'!$F$3:$F$3000,"&lt;&gt;*Exclude*"))))</f>
        <v>#N/A</v>
      </c>
      <c r="AI42" s="136" t="e">
        <f t="shared" si="0"/>
        <v>#N/A</v>
      </c>
      <c r="AJ42" s="136" t="e">
        <f>IF($L$2="Yes",IF(SUMIFS('DATA INPUT'!$D$3:$D$3000,'DATA INPUT'!$A$3:$A$3000,"&gt;="&amp;DATE(2020,4,1),'DATA INPUT'!$A$3:$A$3000,"&lt;"&amp;DATE(2020,4,31),'DATA INPUT'!$G$3:$G$3000,"&lt;&gt;*School service*")=0,#N/A,(SUMIFS('DATA INPUT'!$D$3:$D$3000,'DATA INPUT'!$A$3:$A$3000,"&gt;="&amp;DATE(2020,4,1),'DATA INPUT'!$A$3:$A$3000,"&lt;"&amp;DATE(2020,4,31),'DATA INPUT'!$G$3:$G$3000,"&lt;&gt;*School service*"))),IF(SUMIFS('DATA INPUT'!$D$3:$D$3000,'DATA INPUT'!$A$3:$A$3000,"&gt;="&amp;DATE(2020,4,1),'DATA INPUT'!$A$3:$A$3000,"&lt;"&amp;DATE(2020,4,31),'DATA INPUT'!$F$3:$F$3000,"&lt;&gt;*Exclude*",'DATA INPUT'!$G$3:$G$3000,"&lt;&gt;*School service*")=0,#N/A,(SUMIFS('DATA INPUT'!$D$3:$D$3000,'DATA INPUT'!$A$3:$A$3000,"&gt;="&amp;DATE(2020,4,1),'DATA INPUT'!$A$3:$A$3000,"&lt;"&amp;DATE(2020,4,31),'DATA INPUT'!$F$3:$F$3000,"&lt;&gt;*Exclude*",'DATA INPUT'!$G$3:$G$3000,"&lt;&gt;*School service*"))))</f>
        <v>#N/A</v>
      </c>
      <c r="AK42" s="136" t="e">
        <f>AI42-AJ42</f>
        <v>#N/A</v>
      </c>
      <c r="AM42" s="117" t="e">
        <f>IF($L$2="Yes",IFERROR((SUMIFS('DATA INPUT'!$E$3:$E$3000,'DATA INPUT'!$B$3:$B$3000,'Report Tables'!AM$1,'DATA INPUT'!$A$3:$A$3000,"&gt;="&amp;DATE(2020,4,1),'DATA INPUT'!$A$3:$A$3000,"&lt;"&amp;DATE(2020,4,31)))/COUNTIFS('DATA INPUT'!$B$3:$B$3000,'Report Tables'!AM$1,'DATA INPUT'!$A$3:$A$3000,"&gt;="&amp;DATE(2020,4,1),'DATA INPUT'!$A$3:$A$3000,"&lt;"&amp;DATE(2020,4,31)),#N/A),IFERROR((SUMIFS('DATA INPUT'!$E$3:$E$3000,'DATA INPUT'!$B$3:$B$3000,'Report Tables'!AM$1,'DATA INPUT'!$A$3:$A$3000,"&gt;="&amp;DATE(2020,4,1),'DATA INPUT'!$A$3:$A$3000,"&lt;"&amp;DATE(2020,4,31),'DATA INPUT'!$F$3:$F$3000,"&lt;&gt;*Exclude*"))/(COUNTIFS('DATA INPUT'!$B$3:$B$3000,'Report Tables'!AM$1,'DATA INPUT'!$A$3:$A$3000,"&gt;="&amp;DATE(2020,4,1),'DATA INPUT'!$A$3:$A$3000,"&lt;"&amp;DATE(2020,4,31),'DATA INPUT'!$F$3:$F$3000,"&lt;&gt;*Exclude*")),#N/A))</f>
        <v>#N/A</v>
      </c>
      <c r="AN42" s="117" t="e">
        <f>IF($L$2="Yes",IFERROR((SUMIFS('DATA INPUT'!$E$3:$E$3000,'DATA INPUT'!$B$3:$B$3000,'Report Tables'!AN$1,'DATA INPUT'!$A$3:$A$3000,"&gt;="&amp;DATE(2020,4,1),'DATA INPUT'!$A$3:$A$3000,"&lt;"&amp;DATE(2020,4,31)))/COUNTIFS('DATA INPUT'!$B$3:$B$3000,'Report Tables'!AN$1,'DATA INPUT'!$A$3:$A$3000,"&gt;="&amp;DATE(2020,4,1),'DATA INPUT'!$A$3:$A$3000,"&lt;"&amp;DATE(2020,4,31)),#N/A),IFERROR((SUMIFS('DATA INPUT'!$E$3:$E$3000,'DATA INPUT'!$B$3:$B$3000,'Report Tables'!AN$1,'DATA INPUT'!$A$3:$A$3000,"&gt;="&amp;DATE(2020,4,1),'DATA INPUT'!$A$3:$A$3000,"&lt;"&amp;DATE(2020,4,31),'DATA INPUT'!$F$3:$F$3000,"&lt;&gt;*Exclude*"))/(COUNTIFS('DATA INPUT'!$B$3:$B$3000,'Report Tables'!AN$1,'DATA INPUT'!$A$3:$A$3000,"&gt;="&amp;DATE(2020,4,1),'DATA INPUT'!$A$3:$A$3000,"&lt;"&amp;DATE(2020,4,31),'DATA INPUT'!$F$3:$F$3000,"&lt;&gt;*Exclude*")),#N/A))</f>
        <v>#N/A</v>
      </c>
      <c r="AO42" s="117" t="e">
        <f>IF($L$2="Yes",IFERROR((SUMIFS('DATA INPUT'!$E$3:$E$3000,'DATA INPUT'!$B$3:$B$3000,'Report Tables'!AO$1,'DATA INPUT'!$A$3:$A$3000,"&gt;="&amp;DATE(2020,4,1),'DATA INPUT'!$A$3:$A$3000,"&lt;"&amp;DATE(2020,4,31)))/COUNTIFS('DATA INPUT'!$B$3:$B$3000,'Report Tables'!AO$1,'DATA INPUT'!$A$3:$A$3000,"&gt;="&amp;DATE(2020,4,1),'DATA INPUT'!$A$3:$A$3000,"&lt;"&amp;DATE(2020,4,31)),#N/A),IFERROR((SUMIFS('DATA INPUT'!$E$3:$E$3000,'DATA INPUT'!$B$3:$B$3000,'Report Tables'!AO$1,'DATA INPUT'!$A$3:$A$3000,"&gt;="&amp;DATE(2020,4,1),'DATA INPUT'!$A$3:$A$3000,"&lt;"&amp;DATE(2020,4,31),'DATA INPUT'!$F$3:$F$3000,"&lt;&gt;*Exclude*"))/(COUNTIFS('DATA INPUT'!$B$3:$B$3000,'Report Tables'!AO$1,'DATA INPUT'!$A$3:$A$3000,"&gt;="&amp;DATE(2020,4,1),'DATA INPUT'!$A$3:$A$3000,"&lt;"&amp;DATE(2020,4,31),'DATA INPUT'!$F$3:$F$3000,"&lt;&gt;*Exclude*")),#N/A))</f>
        <v>#N/A</v>
      </c>
      <c r="AP42" s="117" t="e">
        <f>IF($L$2="Yes",IFERROR((SUMIFS('DATA INPUT'!$E$3:$E$3000,'DATA INPUT'!$B$3:$B$3000,'Report Tables'!AP$1,'DATA INPUT'!$A$3:$A$3000,"&gt;="&amp;DATE(2020,4,1),'DATA INPUT'!$A$3:$A$3000,"&lt;"&amp;DATE(2020,4,31)))/COUNTIFS('DATA INPUT'!$B$3:$B$3000,'Report Tables'!AP$1,'DATA INPUT'!$A$3:$A$3000,"&gt;="&amp;DATE(2020,4,1),'DATA INPUT'!$A$3:$A$3000,"&lt;"&amp;DATE(2020,4,31)),#N/A),IFERROR((SUMIFS('DATA INPUT'!$E$3:$E$3000,'DATA INPUT'!$B$3:$B$3000,'Report Tables'!AP$1,'DATA INPUT'!$A$3:$A$3000,"&gt;="&amp;DATE(2020,4,1),'DATA INPUT'!$A$3:$A$3000,"&lt;"&amp;DATE(2020,4,31),'DATA INPUT'!$F$3:$F$3000,"&lt;&gt;*Exclude*"))/(COUNTIFS('DATA INPUT'!$B$3:$B$3000,'Report Tables'!AP$1,'DATA INPUT'!$A$3:$A$3000,"&gt;="&amp;DATE(2020,4,1),'DATA INPUT'!$A$3:$A$3000,"&lt;"&amp;DATE(2020,4,31),'DATA INPUT'!$F$3:$F$3000,"&lt;&gt;*Exclude*")),#N/A))</f>
        <v>#N/A</v>
      </c>
      <c r="AQ42" s="117" t="e">
        <f>IF($L$2="Yes",IFERROR((SUMIFS('DATA INPUT'!$E$3:$E$3000,'DATA INPUT'!$B$3:$B$3000,'Report Tables'!AQ$1,'DATA INPUT'!$A$3:$A$3000,"&gt;="&amp;DATE(2020,4,1),'DATA INPUT'!$A$3:$A$3000,"&lt;"&amp;DATE(2020,4,31)))/COUNTIFS('DATA INPUT'!$B$3:$B$3000,'Report Tables'!AQ$1,'DATA INPUT'!$A$3:$A$3000,"&gt;="&amp;DATE(2020,4,1),'DATA INPUT'!$A$3:$A$3000,"&lt;"&amp;DATE(2020,4,31)),#N/A),IFERROR((SUMIFS('DATA INPUT'!$E$3:$E$3000,'DATA INPUT'!$B$3:$B$3000,'Report Tables'!AQ$1,'DATA INPUT'!$A$3:$A$3000,"&gt;="&amp;DATE(2020,4,1),'DATA INPUT'!$A$3:$A$3000,"&lt;"&amp;DATE(2020,4,31),'DATA INPUT'!$F$3:$F$3000,"&lt;&gt;*Exclude*"))/(COUNTIFS('DATA INPUT'!$B$3:$B$3000,'Report Tables'!AQ$1,'DATA INPUT'!$A$3:$A$3000,"&gt;="&amp;DATE(2020,4,1),'DATA INPUT'!$A$3:$A$3000,"&lt;"&amp;DATE(2020,4,31),'DATA INPUT'!$F$3:$F$3000,"&lt;&gt;*Exclude*")),#N/A))</f>
        <v>#N/A</v>
      </c>
      <c r="AR42" s="117" t="e">
        <f>IF($L$2="Yes",IFERROR((SUMIFS('DATA INPUT'!$E$3:$E$3000,'DATA INPUT'!$B$3:$B$3000,'Report Tables'!AR$1,'DATA INPUT'!$A$3:$A$3000,"&gt;="&amp;DATE(2020,4,1),'DATA INPUT'!$A$3:$A$3000,"&lt;"&amp;DATE(2020,4,31)))/COUNTIFS('DATA INPUT'!$B$3:$B$3000,'Report Tables'!AR$1,'DATA INPUT'!$A$3:$A$3000,"&gt;="&amp;DATE(2020,4,1),'DATA INPUT'!$A$3:$A$3000,"&lt;"&amp;DATE(2020,4,31)),#N/A),IFERROR((SUMIFS('DATA INPUT'!$E$3:$E$3000,'DATA INPUT'!$B$3:$B$3000,'Report Tables'!AR$1,'DATA INPUT'!$A$3:$A$3000,"&gt;="&amp;DATE(2020,4,1),'DATA INPUT'!$A$3:$A$3000,"&lt;"&amp;DATE(2020,4,31),'DATA INPUT'!$F$3:$F$3000,"&lt;&gt;*Exclude*"))/(COUNTIFS('DATA INPUT'!$B$3:$B$3000,'Report Tables'!AR$1,'DATA INPUT'!$A$3:$A$3000,"&gt;="&amp;DATE(2020,4,1),'DATA INPUT'!$A$3:$A$3000,"&lt;"&amp;DATE(2020,4,31),'DATA INPUT'!$F$3:$F$3000,"&lt;&gt;*Exclude*")),#N/A))</f>
        <v>#N/A</v>
      </c>
      <c r="AS42" s="117" t="e">
        <f>IF($L$2="Yes",IFERROR((SUMIFS('DATA INPUT'!$E$3:$E$3000,'DATA INPUT'!$B$3:$B$3000,'Report Tables'!AS$1,'DATA INPUT'!$A$3:$A$3000,"&gt;="&amp;DATE(2020,4,1),'DATA INPUT'!$A$3:$A$3000,"&lt;"&amp;DATE(2020,4,31)))/COUNTIFS('DATA INPUT'!$B$3:$B$3000,'Report Tables'!AS$1,'DATA INPUT'!$A$3:$A$3000,"&gt;="&amp;DATE(2020,4,1),'DATA INPUT'!$A$3:$A$3000,"&lt;"&amp;DATE(2020,4,31)),#N/A),IFERROR((SUMIFS('DATA INPUT'!$E$3:$E$3000,'DATA INPUT'!$B$3:$B$3000,'Report Tables'!AS$1,'DATA INPUT'!$A$3:$A$3000,"&gt;="&amp;DATE(2020,4,1),'DATA INPUT'!$A$3:$A$3000,"&lt;"&amp;DATE(2020,4,31),'DATA INPUT'!$F$3:$F$3000,"&lt;&gt;*Exclude*"))/(COUNTIFS('DATA INPUT'!$B$3:$B$3000,'Report Tables'!AS$1,'DATA INPUT'!$A$3:$A$3000,"&gt;="&amp;DATE(2020,4,1),'DATA INPUT'!$A$3:$A$3000,"&lt;"&amp;DATE(2020,4,31),'DATA INPUT'!$F$3:$F$3000,"&lt;&gt;*Exclude*")),#N/A))</f>
        <v>#N/A</v>
      </c>
      <c r="AT42" s="117" t="e">
        <f>IF($L$2="Yes",IFERROR((SUMIFS('DATA INPUT'!$E$3:$E$3000,'DATA INPUT'!$B$3:$B$3000,'Report Tables'!AT$1,'DATA INPUT'!$A$3:$A$3000,"&gt;="&amp;DATE(2020,4,1),'DATA INPUT'!$A$3:$A$3000,"&lt;"&amp;DATE(2020,4,31)))/COUNTIFS('DATA INPUT'!$B$3:$B$3000,'Report Tables'!AT$1,'DATA INPUT'!$A$3:$A$3000,"&gt;="&amp;DATE(2020,4,1),'DATA INPUT'!$A$3:$A$3000,"&lt;"&amp;DATE(2020,4,31)),#N/A),IFERROR((SUMIFS('DATA INPUT'!$E$3:$E$3000,'DATA INPUT'!$B$3:$B$3000,'Report Tables'!AT$1,'DATA INPUT'!$A$3:$A$3000,"&gt;="&amp;DATE(2020,4,1),'DATA INPUT'!$A$3:$A$3000,"&lt;"&amp;DATE(2020,4,31),'DATA INPUT'!$F$3:$F$3000,"&lt;&gt;*Exclude*"))/(COUNTIFS('DATA INPUT'!$B$3:$B$3000,'Report Tables'!AT$1,'DATA INPUT'!$A$3:$A$3000,"&gt;="&amp;DATE(2020,4,1),'DATA INPUT'!$A$3:$A$3000,"&lt;"&amp;DATE(2020,4,31),'DATA INPUT'!$F$3:$F$3000,"&lt;&gt;*Exclude*")),#N/A))</f>
        <v>#N/A</v>
      </c>
      <c r="AU42" s="117" t="e">
        <f t="shared" si="1"/>
        <v>#N/A</v>
      </c>
      <c r="AV42" s="117" t="e">
        <f>IF($L$2="Yes",IFERROR((SUMIFS('DATA INPUT'!$D$3:$D$3000,'DATA INPUT'!$A$3:$A$3000,"&gt;="&amp;DATE(2020,4,1),'DATA INPUT'!$A$3:$A$3000,"&lt;"&amp;DATE(2020,4,31),'DATA INPUT'!$G$3:$G$3000,"&lt;&gt;*School service*"))/COUNTIFS('DATA INPUT'!$A$3:$A$3000,"&gt;="&amp;DATE(2020,4,1),'DATA INPUT'!$A$3:$A$3000,"&lt;"&amp;DATE(2020,4,31),'DATA INPUT'!$G$3:$G$3000,"&lt;&gt;*School service*",'DATA INPUT'!$D$3:$D$3000,"&lt;&gt;"&amp;""),#N/A),IFERROR((SUMIFS('DATA INPUT'!$D$3:$D$3000,'DATA INPUT'!$A$3:$A$3000,"&gt;="&amp;DATE(2020,4,1),'DATA INPUT'!$A$3:$A$3000,"&lt;"&amp;DATE(2020,4,31),'DATA INPUT'!$F$3:$F$3000,"&lt;&gt;*Exclude*",'DATA INPUT'!$G$3:$G$3000,"&lt;&gt;*School service*"))/(COUNTIFS('DATA INPUT'!$A$3:$A$3000,"&gt;="&amp;DATE(2020,4,1),'DATA INPUT'!$A$3:$A$3000,"&lt;"&amp;DATE(2020,4,31),'DATA INPUT'!$F$3:$F$3000,"&lt;&gt;*Exclude*",'DATA INPUT'!$G$3:$G$3000,"&lt;&gt;*School service*",'DATA INPUT'!$D$3:$D$3000,"&lt;&gt;"&amp;"")),#N/A))</f>
        <v>#N/A</v>
      </c>
      <c r="AW42" s="117" t="e">
        <f t="shared" si="2"/>
        <v>#N/A</v>
      </c>
      <c r="AX42" s="117" t="e">
        <f>IF($L$2="Yes",IFERROR((SUMIFS('DATA INPUT'!$E$3:$E$3000,'DATA INPUT'!$B$3:$B$3000,'Report Tables'!AX$1,'DATA INPUT'!$A$3:$A$3000,"&gt;="&amp;DATE(2020,4,1),'DATA INPUT'!$A$3:$A$3000,"&lt;"&amp;DATE(2020,4,31)))/COUNTIFS('DATA INPUT'!$B$3:$B$3000,'Report Tables'!AX$1,'DATA INPUT'!$A$3:$A$3000,"&gt;="&amp;DATE(2020,4,1),'DATA INPUT'!$A$3:$A$3000,"&lt;"&amp;DATE(2020,4,31)),#N/A),IFERROR((SUMIFS('DATA INPUT'!$E$3:$E$3000,'DATA INPUT'!$B$3:$B$3000,'Report Tables'!AX$1,'DATA INPUT'!$A$3:$A$3000,"&gt;="&amp;DATE(2020,4,1),'DATA INPUT'!$A$3:$A$3000,"&lt;"&amp;DATE(2020,4,31),'DATA INPUT'!$F$3:$F$3000,"&lt;&gt;*Exclude*"))/(COUNTIFS('DATA INPUT'!$B$3:$B$3000,'Report Tables'!AX$1,'DATA INPUT'!$A$3:$A$3000,"&gt;="&amp;DATE(2020,4,1),'DATA INPUT'!$A$3:$A$3000,"&lt;"&amp;DATE(2020,4,31),'DATA INPUT'!$F$3:$F$3000,"&lt;&gt;*Exclude*")),#N/A))</f>
        <v>#N/A</v>
      </c>
      <c r="AY42" s="117" t="e">
        <f>IF($L$2="Yes",IFERROR((SUMIFS('DATA INPUT'!$D$3:$D$3000,'DATA INPUT'!$B$3:$B$3000,'Report Tables'!AX$1,'DATA INPUT'!$A$3:$A$3000,"&gt;="&amp;DATE(2020,4,1),'DATA INPUT'!$A$3:$A$3000,"&lt;"&amp;DATE(2020,4,31)))/COUNTIFS('DATA INPUT'!$B$3:$B$3000,'Report Tables'!AX$1,'DATA INPUT'!$A$3:$A$3000,"&gt;="&amp;DATE(2020,4,1),'DATA INPUT'!$A$3:$A$3000,"&lt;"&amp;DATE(2020,4,31)),#N/A),IFERROR((SUMIFS('DATA INPUT'!$D$3:$D$3000,'DATA INPUT'!$B$3:$B$3000,'Report Tables'!AX$1,'DATA INPUT'!$A$3:$A$3000,"&gt;="&amp;DATE(2020,4,1),'DATA INPUT'!$A$3:$A$3000,"&lt;"&amp;DATE(2020,4,31),'DATA INPUT'!$F$3:$F$3000,"&lt;&gt;*Exclude*"))/(COUNTIFS('DATA INPUT'!$B$3:$B$3000,'Report Tables'!AX$1,'DATA INPUT'!$A$3:$A$3000,"&gt;="&amp;DATE(2020,4,1),'DATA INPUT'!$A$3:$A$3000,"&lt;"&amp;DATE(2020,4,31),'DATA INPUT'!$F$3:$F$3000,"&lt;&gt;*Exclude*")),#N/A))</f>
        <v>#N/A</v>
      </c>
      <c r="AZ42" s="117" t="e">
        <f>IF($L$2="Yes",IFERROR((SUMIFS('DATA INPUT'!$C$3:$C$3000,'DATA INPUT'!$B$3:$B$3000,'Report Tables'!AX$1,'DATA INPUT'!$A$3:$A$3000,"&gt;="&amp;DATE(2020,4,1),'DATA INPUT'!$A$3:$A$3000,"&lt;"&amp;DATE(2020,4,31)))/COUNTIFS('DATA INPUT'!$B$3:$B$3000,'Report Tables'!AX$1,'DATA INPUT'!$A$3:$A$3000,"&gt;="&amp;DATE(2020,4,1),'DATA INPUT'!$A$3:$A$3000,"&lt;"&amp;DATE(2020,4,31)),#N/A),IFERROR((SUMIFS('DATA INPUT'!$C$3:$C$3000,'DATA INPUT'!$B$3:$B$3000,'Report Tables'!AX$1,'DATA INPUT'!$A$3:$A$3000,"&gt;="&amp;DATE(2020,4,1),'DATA INPUT'!$A$3:$A$3000,"&lt;"&amp;DATE(2020,4,31),'DATA INPUT'!$F$3:$F$3000,"&lt;&gt;*Exclude*"))/(COUNTIFS('DATA INPUT'!$B$3:$B$3000,'Report Tables'!AX$1,'DATA INPUT'!$A$3:$A$3000,"&gt;="&amp;DATE(2020,4,1),'DATA INPUT'!$A$3:$A$3000,"&lt;"&amp;DATE(2020,4,31),'DATA INPUT'!$F$3:$F$3000,"&lt;&gt;*Exclude*")),#N/A))</f>
        <v>#N/A</v>
      </c>
    </row>
    <row r="43" spans="1:52" x14ac:dyDescent="0.3">
      <c r="A43" s="95" t="e">
        <f>VLOOKUP(B43,Information!$C$8:$F$15,4,FALSE)</f>
        <v>#N/A</v>
      </c>
      <c r="B43" s="53">
        <f>$B$7</f>
        <v>0</v>
      </c>
      <c r="C43" s="58" t="e">
        <f>IF($L$2="Yes",(SUMIFS('DATA INPUT'!$C$3:$C$3000,'DATA INPUT'!$A$3:$A$3000,"&gt;="&amp;DATE(2017,1,1),'DATA INPUT'!$A$3:$A$3000,"&lt;="&amp;DATE(2017,12,31),'DATA INPUT'!$B$3:$B$3000,$B43))/(COUNTIFS('DATA INPUT'!$A$3:$A$3000,"&gt;="&amp;DATE(2017,1,1),'DATA INPUT'!$A$3:$A$3000,"&lt;="&amp;DATE(2017,12,31),'DATA INPUT'!$B$3:$B$3000,$B43)),(SUMIFS('DATA INPUT'!$C$3:$C$3000,'DATA INPUT'!$A$3:$A$3000,"&gt;="&amp;DATE(2017,1,1),'DATA INPUT'!$A$3:$A$3000,"&lt;="&amp;DATE(2017,12,31),'DATA INPUT'!$B$3:$B$3000,$B43,'DATA INPUT'!$F$3:$F$3000,"&lt;&gt;*Exclude*"))/(COUNTIFS('DATA INPUT'!$A$3:$A$3000,"&gt;="&amp;DATE(2017,1,1),'DATA INPUT'!$A$3:$A$3000,"&lt;="&amp;DATE(2017,12,31),'DATA INPUT'!$B$3:$B$3000,$B43,'DATA INPUT'!$F$3:$F$3000,"&lt;&gt;*Exclude*")))</f>
        <v>#DIV/0!</v>
      </c>
      <c r="D43" s="58" t="e">
        <f>IF($L$2="Yes",(SUMIFS('DATA INPUT'!$C$3:$C$3000,'DATA INPUT'!$A$3:$A$3000,"&gt;="&amp;DATE(2018,1,1),'DATA INPUT'!$A$3:$A$3000,"&lt;="&amp;DATE(2018,12,31),'DATA INPUT'!$B$3:$B$3000,$B43))/(COUNTIFS('DATA INPUT'!$A$3:$A$3000,"&gt;="&amp;DATE(2018,1,1),'DATA INPUT'!$A$3:$A$3000,"&lt;="&amp;DATE(2018,12,31),'DATA INPUT'!$B$3:$B$3000,$B43)),(SUMIFS('DATA INPUT'!$C$3:$C$3000,'DATA INPUT'!$A$3:$A$3000,"&gt;="&amp;DATE(2018,1,1),'DATA INPUT'!$A$3:$A$3000,"&lt;="&amp;DATE(2018,12,31),'DATA INPUT'!$B$3:$B$3000,$B43,'DATA INPUT'!$F$3:$F$3000,"&lt;&gt;*Exclude*"))/(COUNTIFS('DATA INPUT'!$A$3:$A$3000,"&gt;="&amp;DATE(2018,1,1),'DATA INPUT'!$A$3:$A$3000,"&lt;="&amp;DATE(2018,12,31),'DATA INPUT'!$B$3:$B$3000,$B43,'DATA INPUT'!$F$3:$F$3000,"&lt;&gt;*Exclude*")))</f>
        <v>#DIV/0!</v>
      </c>
      <c r="E43" s="58" t="e">
        <f>IF($L$2="Yes",(SUMIFS('DATA INPUT'!$C$3:$C$3000,'DATA INPUT'!$A$3:$A$3000,"&gt;="&amp;DATE(2019,1,1),'DATA INPUT'!$A$3:$A$3000,"&lt;="&amp;DATE(2019,12,31),'DATA INPUT'!$B$3:$B$3000,$B43))/(COUNTIFS('DATA INPUT'!$A$3:$A$3000,"&gt;="&amp;DATE(2019,1,1),'DATA INPUT'!$A$3:$A$3000,"&lt;="&amp;DATE(2019,12,31),'DATA INPUT'!$B$3:$B$3000,$B43)),(SUMIFS('DATA INPUT'!$C$3:$C$3000,'DATA INPUT'!$A$3:$A$3000,"&gt;="&amp;DATE(2019,1,1),'DATA INPUT'!$A$3:$A$3000,"&lt;="&amp;DATE(2019,12,31),'DATA INPUT'!$B$3:$B$3000,$B43,'DATA INPUT'!$F$3:$F$3000,"&lt;&gt;*Exclude*"))/(COUNTIFS('DATA INPUT'!$A$3:$A$3000,"&gt;="&amp;DATE(2019,1,1),'DATA INPUT'!$A$3:$A$3000,"&lt;="&amp;DATE(2019,12,31),'DATA INPUT'!$B$3:$B$3000,$B43,'DATA INPUT'!$F$3:$F$3000,"&lt;&gt;*Exclude*")))</f>
        <v>#DIV/0!</v>
      </c>
      <c r="F43" s="58" t="e">
        <f>IF($L$2="Yes",(SUMIFS('DATA INPUT'!$C$3:$C$3000,'DATA INPUT'!$A$3:$A$3000,"&gt;="&amp;DATE(2020,1,1),'DATA INPUT'!$A$3:$A$3000,"&lt;="&amp;DATE(2020,12,31),'DATA INPUT'!$B$3:$B$3000,$B43))/(COUNTIFS('DATA INPUT'!$A$3:$A$3000,"&gt;="&amp;DATE(2020,1,1),'DATA INPUT'!$A$3:$A$3000,"&lt;="&amp;DATE(2020,12,31),'DATA INPUT'!$B$3:$B$3000,$B43)),(SUMIFS('DATA INPUT'!$C$3:$C$3000,'DATA INPUT'!$A$3:$A$3000,"&gt;="&amp;DATE(2020,1,1),'DATA INPUT'!$A$3:$A$3000,"&lt;="&amp;DATE(2020,12,31),'DATA INPUT'!$B$3:$B$3000,$B43,'DATA INPUT'!$F$3:$F$3000,"&lt;&gt;*Exclude*"))/(COUNTIFS('DATA INPUT'!$A$3:$A$3000,"&gt;="&amp;DATE(2020,1,1),'DATA INPUT'!$A$3:$A$3000,"&lt;="&amp;DATE(2020,12,31),'DATA INPUT'!$B$3:$B$3000,$B43,'DATA INPUT'!$F$3:$F$3000,"&lt;&gt;*Exclude*")))</f>
        <v>#DIV/0!</v>
      </c>
      <c r="G43" s="58" t="e">
        <f>IF($L$2="Yes",(SUMIFS('DATA INPUT'!$C$3:$C$3000,'DATA INPUT'!$A$3:$A$3000,"&gt;="&amp;DATE(2021,1,1),'DATA INPUT'!$A$3:$A$3000,"&lt;="&amp;DATE(2021,12,31),'DATA INPUT'!$B$3:$B$3000,$B43))/(COUNTIFS('DATA INPUT'!$A$3:$A$3000,"&gt;="&amp;DATE(2021,1,1),'DATA INPUT'!$A$3:$A$3000,"&lt;="&amp;DATE(2021,12,31),'DATA INPUT'!$B$3:$B$3000,$B43)),(SUMIFS('DATA INPUT'!$C$3:$C$3000,'DATA INPUT'!$A$3:$A$3000,"&gt;="&amp;DATE(2021,1,1),'DATA INPUT'!$A$3:$A$3000,"&lt;="&amp;DATE(2021,12,31),'DATA INPUT'!$B$3:$B$3000,$B43,'DATA INPUT'!$F$3:$F$3000,"&lt;&gt;*Exclude*"))/(COUNTIFS('DATA INPUT'!$A$3:$A$3000,"&gt;="&amp;DATE(2021,1,1),'DATA INPUT'!$A$3:$A$3000,"&lt;="&amp;DATE(2021,12,31),'DATA INPUT'!$B$3:$B$3000,$B43,'DATA INPUT'!$F$3:$F$3000,"&lt;&gt;*Exclude*")))</f>
        <v>#DIV/0!</v>
      </c>
      <c r="H43" s="58" t="e">
        <f>IF($L$2="Yes",(SUMIFS('DATA INPUT'!$C$3:$C$3000,'DATA INPUT'!$A$3:$A$3000,"&gt;="&amp;DATE(2022,1,1),'DATA INPUT'!$A$3:$A$3000,"&lt;="&amp;DATE(2022,12,31),'DATA INPUT'!$B$3:$B$3000,$B43))/(COUNTIFS('DATA INPUT'!$A$3:$A$3000,"&gt;="&amp;DATE(2022,1,1),'DATA INPUT'!$A$3:$A$3000,"&lt;="&amp;DATE(2022,12,31),'DATA INPUT'!$B$3:$B$3000,$B43)),(SUMIFS('DATA INPUT'!$C$3:$C$3000,'DATA INPUT'!$A$3:$A$3000,"&gt;="&amp;DATE(2022,1,1),'DATA INPUT'!$A$3:$A$3000,"&lt;="&amp;DATE(2022,12,31),'DATA INPUT'!$B$3:$B$3000,$B43,'DATA INPUT'!$F$3:$F$3000,"&lt;&gt;*Exclude*"))/(COUNTIFS('DATA INPUT'!$A$3:$A$3000,"&gt;="&amp;DATE(2022,1,1),'DATA INPUT'!$A$3:$A$3000,"&lt;="&amp;DATE(2022,12,31),'DATA INPUT'!$B$3:$B$3000,$B43,'DATA INPUT'!$F$3:$F$3000,"&lt;&gt;*Exclude*")))</f>
        <v>#DIV/0!</v>
      </c>
      <c r="I43" s="58" t="e">
        <f>IF($L$2="Yes",(SUMIFS('DATA INPUT'!$C$3:$C$3000,'DATA INPUT'!$A$3:$A$3000,"&gt;="&amp;DATE(2023,1,1),'DATA INPUT'!$A$3:$A$3000,"&lt;="&amp;DATE(2023,12,31),'DATA INPUT'!$B$3:$B$3000,$B43))/(COUNTIFS('DATA INPUT'!$A$3:$A$3000,"&gt;="&amp;DATE(2023,1,1),'DATA INPUT'!$A$3:$A$3000,"&lt;="&amp;DATE(2023,12,31),'DATA INPUT'!$B$3:$B$3000,$B43)),(SUMIFS('DATA INPUT'!$C$3:$C$3000,'DATA INPUT'!$A$3:$A$3000,"&gt;="&amp;DATE(2023,1,1),'DATA INPUT'!$A$3:$A$3000,"&lt;="&amp;DATE(2023,12,31),'DATA INPUT'!$B$3:$B$3000,$B43,'DATA INPUT'!$F$3:$F$3000,"&lt;&gt;*Exclude*"))/(COUNTIFS('DATA INPUT'!$A$3:$A$3000,"&gt;="&amp;DATE(2023,1,1),'DATA INPUT'!$A$3:$A$3000,"&lt;="&amp;DATE(2023,12,31),'DATA INPUT'!$B$3:$B$3000,$B43,'DATA INPUT'!$F$3:$F$3000,"&lt;&gt;*Exclude*")))</f>
        <v>#DIV/0!</v>
      </c>
      <c r="J43" s="58" t="e">
        <f>IF($L$2="Yes",(SUMIFS('DATA INPUT'!$C$3:$C$3000,'DATA INPUT'!$A$3:$A$3000,"&gt;="&amp;DATE(2024,1,1),'DATA INPUT'!$A$3:$A$3000,"&lt;="&amp;DATE(2024,12,31),'DATA INPUT'!$B$3:$B$3000,$B43))/(COUNTIFS('DATA INPUT'!$A$3:$A$3000,"&gt;="&amp;DATE(2024,1,1),'DATA INPUT'!$A$3:$A$3000,"&lt;="&amp;DATE(2024,12,31),'DATA INPUT'!$B$3:$B$3000,$B43)),(SUMIFS('DATA INPUT'!$C$3:$C$3000,'DATA INPUT'!$A$3:$A$3000,"&gt;="&amp;DATE(2024,1,1),'DATA INPUT'!$A$3:$A$3000,"&lt;="&amp;DATE(2024,12,31),'DATA INPUT'!$B$3:$B$3000,$B43,'DATA INPUT'!$F$3:$F$3000,"&lt;&gt;*Exclude*"))/(COUNTIFS('DATA INPUT'!$A$3:$A$3000,"&gt;="&amp;DATE(2024,1,1),'DATA INPUT'!$A$3:$A$3000,"&lt;="&amp;DATE(2024,12,31),'DATA INPUT'!$B$3:$B$3000,$B43,'DATA INPUT'!$F$3:$F$3000,"&lt;&gt;*Exclude*")))</f>
        <v>#DIV/0!</v>
      </c>
      <c r="K43" s="58" t="e">
        <f>IF($L$2="Yes",(SUMIFS('DATA INPUT'!$C$3:$C$3000,'DATA INPUT'!$A$3:$A$3000,"&gt;="&amp;DATE(2025,1,1),'DATA INPUT'!$A$3:$A$3000,"&lt;="&amp;DATE(2025,12,31),'DATA INPUT'!$B$3:$B$3000,$B43))/(COUNTIFS('DATA INPUT'!$A$3:$A$3000,"&gt;="&amp;DATE(2025,1,1),'DATA INPUT'!$A$3:$A$3000,"&lt;="&amp;DATE(2025,12,31),'DATA INPUT'!$B$3:$B$3000,$B43)),(SUMIFS('DATA INPUT'!$C$3:$C$3000,'DATA INPUT'!$A$3:$A$3000,"&gt;="&amp;DATE(2025,1,1),'DATA INPUT'!$A$3:$A$3000,"&lt;="&amp;DATE(2025,12,31),'DATA INPUT'!$B$3:$B$3000,$B43,'DATA INPUT'!$F$3:$F$3000,"&lt;&gt;*Exclude*"))/(COUNTIFS('DATA INPUT'!$A$3:$A$3000,"&gt;="&amp;DATE(2025,1,1),'DATA INPUT'!$A$3:$A$3000,"&lt;="&amp;DATE(2025,12,31),'DATA INPUT'!$B$3:$B$3000,$B43,'DATA INPUT'!$F$3:$F$3000,"&lt;&gt;*Exclude*")))</f>
        <v>#DIV/0!</v>
      </c>
      <c r="L43" s="72" t="str">
        <f t="shared" si="17"/>
        <v/>
      </c>
      <c r="Y43" s="149"/>
      <c r="Z43" s="149" t="s">
        <v>16</v>
      </c>
      <c r="AA43" s="136" t="e">
        <f>IF($L$2="Yes",IF(SUMIFS('DATA INPUT'!$E$3:$E$3000,'DATA INPUT'!$B$3:$B$3000,'Report Tables'!AA$1,'DATA INPUT'!$A$3:$A$3000,"&gt;="&amp;DATE(2020,5,1),'DATA INPUT'!$A$3:$A$3000,"&lt;"&amp;DATE(2020,5,31))=0,#N/A,(SUMIFS('DATA INPUT'!$E$3:$E$3000,'DATA INPUT'!$B$3:$B$3000,'Report Tables'!AA$1,'DATA INPUT'!$A$3:$A$3000,"&gt;="&amp;DATE(2020,5,1),'DATA INPUT'!$A$3:$A$3000,"&lt;"&amp;DATE(2020,5,31)))),IF(SUMIFS('DATA INPUT'!$E$3:$E$3000,'DATA INPUT'!$B$3:$B$3000,'Report Tables'!AA$1,'DATA INPUT'!$A$3:$A$3000,"&gt;="&amp;DATE(2020,5,1),'DATA INPUT'!$A$3:$A$3000,"&lt;"&amp;DATE(2020,5,31),'DATA INPUT'!$F$3:$F$3000,"&lt;&gt;*Exclude*")=0,#N/A,(SUMIFS('DATA INPUT'!$E$3:$E$3000,'DATA INPUT'!$B$3:$B$3000,'Report Tables'!AA$1,'DATA INPUT'!$A$3:$A$3000,"&gt;="&amp;DATE(2020,5,1),'DATA INPUT'!$A$3:$A$3000,"&lt;"&amp;DATE(2020,5,31),'DATA INPUT'!$F$3:$F$3000,"&lt;&gt;*Exclude*"))))</f>
        <v>#N/A</v>
      </c>
      <c r="AB43" s="136" t="e">
        <f>IF($L$2="Yes",IF(SUMIFS('DATA INPUT'!$E$3:$E$3000,'DATA INPUT'!$B$3:$B$3000,'Report Tables'!AB$1,'DATA INPUT'!$A$3:$A$3000,"&gt;="&amp;DATE(2020,5,1),'DATA INPUT'!$A$3:$A$3000,"&lt;"&amp;DATE(2020,5,31))=0,#N/A,(SUMIFS('DATA INPUT'!$E$3:$E$3000,'DATA INPUT'!$B$3:$B$3000,'Report Tables'!AB$1,'DATA INPUT'!$A$3:$A$3000,"&gt;="&amp;DATE(2020,5,1),'DATA INPUT'!$A$3:$A$3000,"&lt;"&amp;DATE(2020,5,31)))),IF(SUMIFS('DATA INPUT'!$E$3:$E$3000,'DATA INPUT'!$B$3:$B$3000,'Report Tables'!AB$1,'DATA INPUT'!$A$3:$A$3000,"&gt;="&amp;DATE(2020,5,1),'DATA INPUT'!$A$3:$A$3000,"&lt;"&amp;DATE(2020,5,31),'DATA INPUT'!$F$3:$F$3000,"&lt;&gt;*Exclude*")=0,#N/A,(SUMIFS('DATA INPUT'!$E$3:$E$3000,'DATA INPUT'!$B$3:$B$3000,'Report Tables'!AB$1,'DATA INPUT'!$A$3:$A$3000,"&gt;="&amp;DATE(2020,5,1),'DATA INPUT'!$A$3:$A$3000,"&lt;"&amp;DATE(2020,5,31),'DATA INPUT'!$F$3:$F$3000,"&lt;&gt;*Exclude*"))))</f>
        <v>#N/A</v>
      </c>
      <c r="AC43" s="136" t="e">
        <f>IF($L$2="Yes",IF(SUMIFS('DATA INPUT'!$E$3:$E$3000,'DATA INPUT'!$B$3:$B$3000,'Report Tables'!AC$1,'DATA INPUT'!$A$3:$A$3000,"&gt;="&amp;DATE(2020,5,1),'DATA INPUT'!$A$3:$A$3000,"&lt;"&amp;DATE(2020,5,31))=0,#N/A,(SUMIFS('DATA INPUT'!$E$3:$E$3000,'DATA INPUT'!$B$3:$B$3000,'Report Tables'!AC$1,'DATA INPUT'!$A$3:$A$3000,"&gt;="&amp;DATE(2020,5,1),'DATA INPUT'!$A$3:$A$3000,"&lt;"&amp;DATE(2020,5,31)))),IF(SUMIFS('DATA INPUT'!$E$3:$E$3000,'DATA INPUT'!$B$3:$B$3000,'Report Tables'!AC$1,'DATA INPUT'!$A$3:$A$3000,"&gt;="&amp;DATE(2020,5,1),'DATA INPUT'!$A$3:$A$3000,"&lt;"&amp;DATE(2020,5,31),'DATA INPUT'!$F$3:$F$3000,"&lt;&gt;*Exclude*")=0,#N/A,(SUMIFS('DATA INPUT'!$E$3:$E$3000,'DATA INPUT'!$B$3:$B$3000,'Report Tables'!AC$1,'DATA INPUT'!$A$3:$A$3000,"&gt;="&amp;DATE(2020,5,1),'DATA INPUT'!$A$3:$A$3000,"&lt;"&amp;DATE(2020,5,31),'DATA INPUT'!$F$3:$F$3000,"&lt;&gt;*Exclude*"))))</f>
        <v>#N/A</v>
      </c>
      <c r="AD43" s="136" t="e">
        <f>IF($L$2="Yes",IF(SUMIFS('DATA INPUT'!$E$3:$E$3000,'DATA INPUT'!$B$3:$B$3000,'Report Tables'!AD$1,'DATA INPUT'!$A$3:$A$3000,"&gt;="&amp;DATE(2020,5,1),'DATA INPUT'!$A$3:$A$3000,"&lt;"&amp;DATE(2020,5,31))=0,#N/A,(SUMIFS('DATA INPUT'!$E$3:$E$3000,'DATA INPUT'!$B$3:$B$3000,'Report Tables'!AD$1,'DATA INPUT'!$A$3:$A$3000,"&gt;="&amp;DATE(2020,5,1),'DATA INPUT'!$A$3:$A$3000,"&lt;"&amp;DATE(2020,5,31)))),IF(SUMIFS('DATA INPUT'!$E$3:$E$3000,'DATA INPUT'!$B$3:$B$3000,'Report Tables'!AD$1,'DATA INPUT'!$A$3:$A$3000,"&gt;="&amp;DATE(2020,5,1),'DATA INPUT'!$A$3:$A$3000,"&lt;"&amp;DATE(2020,5,31),'DATA INPUT'!$F$3:$F$3000,"&lt;&gt;*Exclude*")=0,#N/A,(SUMIFS('DATA INPUT'!$E$3:$E$3000,'DATA INPUT'!$B$3:$B$3000,'Report Tables'!AD$1,'DATA INPUT'!$A$3:$A$3000,"&gt;="&amp;DATE(2020,5,1),'DATA INPUT'!$A$3:$A$3000,"&lt;"&amp;DATE(2020,5,31),'DATA INPUT'!$F$3:$F$3000,"&lt;&gt;*Exclude*"))))</f>
        <v>#N/A</v>
      </c>
      <c r="AE43" s="136" t="e">
        <f>IF($L$2="Yes",IF(SUMIFS('DATA INPUT'!$E$3:$E$3000,'DATA INPUT'!$B$3:$B$3000,'Report Tables'!AE$1,'DATA INPUT'!$A$3:$A$3000,"&gt;="&amp;DATE(2020,5,1),'DATA INPUT'!$A$3:$A$3000,"&lt;"&amp;DATE(2020,5,31))=0,#N/A,(SUMIFS('DATA INPUT'!$E$3:$E$3000,'DATA INPUT'!$B$3:$B$3000,'Report Tables'!AE$1,'DATA INPUT'!$A$3:$A$3000,"&gt;="&amp;DATE(2020,5,1),'DATA INPUT'!$A$3:$A$3000,"&lt;"&amp;DATE(2020,5,31)))),IF(SUMIFS('DATA INPUT'!$E$3:$E$3000,'DATA INPUT'!$B$3:$B$3000,'Report Tables'!AE$1,'DATA INPUT'!$A$3:$A$3000,"&gt;="&amp;DATE(2020,5,1),'DATA INPUT'!$A$3:$A$3000,"&lt;"&amp;DATE(2020,5,31),'DATA INPUT'!$F$3:$F$3000,"&lt;&gt;*Exclude*")=0,#N/A,(SUMIFS('DATA INPUT'!$E$3:$E$3000,'DATA INPUT'!$B$3:$B$3000,'Report Tables'!AE$1,'DATA INPUT'!$A$3:$A$3000,"&gt;="&amp;DATE(2020,5,1),'DATA INPUT'!$A$3:$A$3000,"&lt;"&amp;DATE(2020,5,31),'DATA INPUT'!$F$3:$F$3000,"&lt;&gt;*Exclude*"))))</f>
        <v>#N/A</v>
      </c>
      <c r="AF43" s="136" t="e">
        <f>IF($L$2="Yes",IF(SUMIFS('DATA INPUT'!$E$3:$E$3000,'DATA INPUT'!$B$3:$B$3000,'Report Tables'!AF$1,'DATA INPUT'!$A$3:$A$3000,"&gt;="&amp;DATE(2020,5,1),'DATA INPUT'!$A$3:$A$3000,"&lt;"&amp;DATE(2020,5,31))=0,#N/A,(SUMIFS('DATA INPUT'!$E$3:$E$3000,'DATA INPUT'!$B$3:$B$3000,'Report Tables'!AF$1,'DATA INPUT'!$A$3:$A$3000,"&gt;="&amp;DATE(2020,5,1),'DATA INPUT'!$A$3:$A$3000,"&lt;"&amp;DATE(2020,5,31)))),IF(SUMIFS('DATA INPUT'!$E$3:$E$3000,'DATA INPUT'!$B$3:$B$3000,'Report Tables'!AF$1,'DATA INPUT'!$A$3:$A$3000,"&gt;="&amp;DATE(2020,5,1),'DATA INPUT'!$A$3:$A$3000,"&lt;"&amp;DATE(2020,5,31),'DATA INPUT'!$F$3:$F$3000,"&lt;&gt;*Exclude*")=0,#N/A,(SUMIFS('DATA INPUT'!$E$3:$E$3000,'DATA INPUT'!$B$3:$B$3000,'Report Tables'!AF$1,'DATA INPUT'!$A$3:$A$3000,"&gt;="&amp;DATE(2020,5,1),'DATA INPUT'!$A$3:$A$3000,"&lt;"&amp;DATE(2020,5,31),'DATA INPUT'!$F$3:$F$3000,"&lt;&gt;*Exclude*"))))</f>
        <v>#N/A</v>
      </c>
      <c r="AG43" s="136" t="e">
        <f>IF($L$2="Yes",IF(SUMIFS('DATA INPUT'!$E$3:$E$3000,'DATA INPUT'!$B$3:$B$3000,'Report Tables'!AG$1,'DATA INPUT'!$A$3:$A$3000,"&gt;="&amp;DATE(2020,5,1),'DATA INPUT'!$A$3:$A$3000,"&lt;"&amp;DATE(2020,5,31))=0,#N/A,(SUMIFS('DATA INPUT'!$E$3:$E$3000,'DATA INPUT'!$B$3:$B$3000,'Report Tables'!AG$1,'DATA INPUT'!$A$3:$A$3000,"&gt;="&amp;DATE(2020,5,1),'DATA INPUT'!$A$3:$A$3000,"&lt;"&amp;DATE(2020,5,31)))),IF(SUMIFS('DATA INPUT'!$E$3:$E$3000,'DATA INPUT'!$B$3:$B$3000,'Report Tables'!AG$1,'DATA INPUT'!$A$3:$A$3000,"&gt;="&amp;DATE(2020,5,1),'DATA INPUT'!$A$3:$A$3000,"&lt;"&amp;DATE(2020,5,31),'DATA INPUT'!$F$3:$F$3000,"&lt;&gt;*Exclude*")=0,#N/A,(SUMIFS('DATA INPUT'!$E$3:$E$3000,'DATA INPUT'!$B$3:$B$3000,'Report Tables'!AG$1,'DATA INPUT'!$A$3:$A$3000,"&gt;="&amp;DATE(2020,5,1),'DATA INPUT'!$A$3:$A$3000,"&lt;"&amp;DATE(2020,5,31),'DATA INPUT'!$F$3:$F$3000,"&lt;&gt;*Exclude*"))))</f>
        <v>#N/A</v>
      </c>
      <c r="AH43" s="136" t="e">
        <f>IF($L$2="Yes",IF(SUMIFS('DATA INPUT'!$E$3:$E$3000,'DATA INPUT'!$B$3:$B$3000,'Report Tables'!AH$1,'DATA INPUT'!$A$3:$A$3000,"&gt;="&amp;DATE(2020,5,1),'DATA INPUT'!$A$3:$A$3000,"&lt;"&amp;DATE(2020,5,31))=0,#N/A,(SUMIFS('DATA INPUT'!$E$3:$E$3000,'DATA INPUT'!$B$3:$B$3000,'Report Tables'!AH$1,'DATA INPUT'!$A$3:$A$3000,"&gt;="&amp;DATE(2020,5,1),'DATA INPUT'!$A$3:$A$3000,"&lt;"&amp;DATE(2020,5,31)))),IF(SUMIFS('DATA INPUT'!$E$3:$E$3000,'DATA INPUT'!$B$3:$B$3000,'Report Tables'!AH$1,'DATA INPUT'!$A$3:$A$3000,"&gt;="&amp;DATE(2020,5,1),'DATA INPUT'!$A$3:$A$3000,"&lt;"&amp;DATE(2020,5,31),'DATA INPUT'!$F$3:$F$3000,"&lt;&gt;*Exclude*")=0,#N/A,(SUMIFS('DATA INPUT'!$E$3:$E$3000,'DATA INPUT'!$B$3:$B$3000,'Report Tables'!AH$1,'DATA INPUT'!$A$3:$A$3000,"&gt;="&amp;DATE(2020,5,1),'DATA INPUT'!$A$3:$A$3000,"&lt;"&amp;DATE(2020,5,31),'DATA INPUT'!$F$3:$F$3000,"&lt;&gt;*Exclude*"))))</f>
        <v>#N/A</v>
      </c>
      <c r="AI43" s="136" t="e">
        <f t="shared" si="0"/>
        <v>#N/A</v>
      </c>
      <c r="AJ43" s="136" t="e">
        <f>IF($L$2="Yes",IF(SUMIFS('DATA INPUT'!$D$3:$D$3000,'DATA INPUT'!$A$3:$A$3000,"&gt;="&amp;DATE(2020,5,1),'DATA INPUT'!$A$3:$A$3000,"&lt;"&amp;DATE(2020,5,31),'DATA INPUT'!$G$3:$G$3000,"&lt;&gt;*School service*")=0,#N/A,(SUMIFS('DATA INPUT'!$D$3:$D$3000,'DATA INPUT'!$A$3:$A$3000,"&gt;="&amp;DATE(2020,5,1),'DATA INPUT'!$A$3:$A$3000,"&lt;"&amp;DATE(2020,5,31),'DATA INPUT'!$G$3:$G$3000,"&lt;&gt;*School service*"))),IF(SUMIFS('DATA INPUT'!$D$3:$D$3000,'DATA INPUT'!$A$3:$A$3000,"&gt;="&amp;DATE(2020,5,1),'DATA INPUT'!$A$3:$A$3000,"&lt;"&amp;DATE(2020,5,31),'DATA INPUT'!$F$3:$F$3000,"&lt;&gt;*Exclude*",'DATA INPUT'!$G$3:$G$3000,"&lt;&gt;*School service*")=0,#N/A,(SUMIFS('DATA INPUT'!$D$3:$D$3000,'DATA INPUT'!$A$3:$A$3000,"&gt;="&amp;DATE(2020,5,1),'DATA INPUT'!$A$3:$A$3000,"&lt;"&amp;DATE(2020,5,31),'DATA INPUT'!$F$3:$F$3000,"&lt;&gt;*Exclude*",'DATA INPUT'!$G$3:$G$3000,"&lt;&gt;*School service*"))))</f>
        <v>#N/A</v>
      </c>
      <c r="AK43" s="136" t="e">
        <f>AI43-AJ43</f>
        <v>#N/A</v>
      </c>
      <c r="AM43" s="117" t="e">
        <f>IF($L$2="Yes",IFERROR((SUMIFS('DATA INPUT'!$E$3:$E$3000,'DATA INPUT'!$B$3:$B$3000,'Report Tables'!AM$1,'DATA INPUT'!$A$3:$A$3000,"&gt;="&amp;DATE(2020,5,1),'DATA INPUT'!$A$3:$A$3000,"&lt;"&amp;DATE(2020,5,31)))/COUNTIFS('DATA INPUT'!$B$3:$B$3000,'Report Tables'!AM$1,'DATA INPUT'!$A$3:$A$3000,"&gt;="&amp;DATE(2020,5,1),'DATA INPUT'!$A$3:$A$3000,"&lt;"&amp;DATE(2020,5,31)),#N/A),IFERROR((SUMIFS('DATA INPUT'!$E$3:$E$3000,'DATA INPUT'!$B$3:$B$3000,'Report Tables'!AM$1,'DATA INPUT'!$A$3:$A$3000,"&gt;="&amp;DATE(2020,5,1),'DATA INPUT'!$A$3:$A$3000,"&lt;"&amp;DATE(2020,5,31),'DATA INPUT'!$F$3:$F$3000,"&lt;&gt;*Exclude*"))/(COUNTIFS('DATA INPUT'!$B$3:$B$3000,'Report Tables'!AM$1,'DATA INPUT'!$A$3:$A$3000,"&gt;="&amp;DATE(2020,5,1),'DATA INPUT'!$A$3:$A$3000,"&lt;"&amp;DATE(2020,5,31),'DATA INPUT'!$F$3:$F$3000,"&lt;&gt;*Exclude*")),#N/A))</f>
        <v>#N/A</v>
      </c>
      <c r="AN43" s="117" t="e">
        <f>IF($L$2="Yes",IFERROR((SUMIFS('DATA INPUT'!$E$3:$E$3000,'DATA INPUT'!$B$3:$B$3000,'Report Tables'!AN$1,'DATA INPUT'!$A$3:$A$3000,"&gt;="&amp;DATE(2020,5,1),'DATA INPUT'!$A$3:$A$3000,"&lt;"&amp;DATE(2020,5,31)))/COUNTIFS('DATA INPUT'!$B$3:$B$3000,'Report Tables'!AN$1,'DATA INPUT'!$A$3:$A$3000,"&gt;="&amp;DATE(2020,5,1),'DATA INPUT'!$A$3:$A$3000,"&lt;"&amp;DATE(2020,5,31)),#N/A),IFERROR((SUMIFS('DATA INPUT'!$E$3:$E$3000,'DATA INPUT'!$B$3:$B$3000,'Report Tables'!AN$1,'DATA INPUT'!$A$3:$A$3000,"&gt;="&amp;DATE(2020,5,1),'DATA INPUT'!$A$3:$A$3000,"&lt;"&amp;DATE(2020,5,31),'DATA INPUT'!$F$3:$F$3000,"&lt;&gt;*Exclude*"))/(COUNTIFS('DATA INPUT'!$B$3:$B$3000,'Report Tables'!AN$1,'DATA INPUT'!$A$3:$A$3000,"&gt;="&amp;DATE(2020,5,1),'DATA INPUT'!$A$3:$A$3000,"&lt;"&amp;DATE(2020,5,31),'DATA INPUT'!$F$3:$F$3000,"&lt;&gt;*Exclude*")),#N/A))</f>
        <v>#N/A</v>
      </c>
      <c r="AO43" s="117" t="e">
        <f>IF($L$2="Yes",IFERROR((SUMIFS('DATA INPUT'!$E$3:$E$3000,'DATA INPUT'!$B$3:$B$3000,'Report Tables'!AO$1,'DATA INPUT'!$A$3:$A$3000,"&gt;="&amp;DATE(2020,5,1),'DATA INPUT'!$A$3:$A$3000,"&lt;"&amp;DATE(2020,5,31)))/COUNTIFS('DATA INPUT'!$B$3:$B$3000,'Report Tables'!AO$1,'DATA INPUT'!$A$3:$A$3000,"&gt;="&amp;DATE(2020,5,1),'DATA INPUT'!$A$3:$A$3000,"&lt;"&amp;DATE(2020,5,31)),#N/A),IFERROR((SUMIFS('DATA INPUT'!$E$3:$E$3000,'DATA INPUT'!$B$3:$B$3000,'Report Tables'!AO$1,'DATA INPUT'!$A$3:$A$3000,"&gt;="&amp;DATE(2020,5,1),'DATA INPUT'!$A$3:$A$3000,"&lt;"&amp;DATE(2020,5,31),'DATA INPUT'!$F$3:$F$3000,"&lt;&gt;*Exclude*"))/(COUNTIFS('DATA INPUT'!$B$3:$B$3000,'Report Tables'!AO$1,'DATA INPUT'!$A$3:$A$3000,"&gt;="&amp;DATE(2020,5,1),'DATA INPUT'!$A$3:$A$3000,"&lt;"&amp;DATE(2020,5,31),'DATA INPUT'!$F$3:$F$3000,"&lt;&gt;*Exclude*")),#N/A))</f>
        <v>#N/A</v>
      </c>
      <c r="AP43" s="117" t="e">
        <f>IF($L$2="Yes",IFERROR((SUMIFS('DATA INPUT'!$E$3:$E$3000,'DATA INPUT'!$B$3:$B$3000,'Report Tables'!AP$1,'DATA INPUT'!$A$3:$A$3000,"&gt;="&amp;DATE(2020,5,1),'DATA INPUT'!$A$3:$A$3000,"&lt;"&amp;DATE(2020,5,31)))/COUNTIFS('DATA INPUT'!$B$3:$B$3000,'Report Tables'!AP$1,'DATA INPUT'!$A$3:$A$3000,"&gt;="&amp;DATE(2020,5,1),'DATA INPUT'!$A$3:$A$3000,"&lt;"&amp;DATE(2020,5,31)),#N/A),IFERROR((SUMIFS('DATA INPUT'!$E$3:$E$3000,'DATA INPUT'!$B$3:$B$3000,'Report Tables'!AP$1,'DATA INPUT'!$A$3:$A$3000,"&gt;="&amp;DATE(2020,5,1),'DATA INPUT'!$A$3:$A$3000,"&lt;"&amp;DATE(2020,5,31),'DATA INPUT'!$F$3:$F$3000,"&lt;&gt;*Exclude*"))/(COUNTIFS('DATA INPUT'!$B$3:$B$3000,'Report Tables'!AP$1,'DATA INPUT'!$A$3:$A$3000,"&gt;="&amp;DATE(2020,5,1),'DATA INPUT'!$A$3:$A$3000,"&lt;"&amp;DATE(2020,5,31),'DATA INPUT'!$F$3:$F$3000,"&lt;&gt;*Exclude*")),#N/A))</f>
        <v>#N/A</v>
      </c>
      <c r="AQ43" s="117" t="e">
        <f>IF($L$2="Yes",IFERROR((SUMIFS('DATA INPUT'!$E$3:$E$3000,'DATA INPUT'!$B$3:$B$3000,'Report Tables'!AQ$1,'DATA INPUT'!$A$3:$A$3000,"&gt;="&amp;DATE(2020,5,1),'DATA INPUT'!$A$3:$A$3000,"&lt;"&amp;DATE(2020,5,31)))/COUNTIFS('DATA INPUT'!$B$3:$B$3000,'Report Tables'!AQ$1,'DATA INPUT'!$A$3:$A$3000,"&gt;="&amp;DATE(2020,5,1),'DATA INPUT'!$A$3:$A$3000,"&lt;"&amp;DATE(2020,5,31)),#N/A),IFERROR((SUMIFS('DATA INPUT'!$E$3:$E$3000,'DATA INPUT'!$B$3:$B$3000,'Report Tables'!AQ$1,'DATA INPUT'!$A$3:$A$3000,"&gt;="&amp;DATE(2020,5,1),'DATA INPUT'!$A$3:$A$3000,"&lt;"&amp;DATE(2020,5,31),'DATA INPUT'!$F$3:$F$3000,"&lt;&gt;*Exclude*"))/(COUNTIFS('DATA INPUT'!$B$3:$B$3000,'Report Tables'!AQ$1,'DATA INPUT'!$A$3:$A$3000,"&gt;="&amp;DATE(2020,5,1),'DATA INPUT'!$A$3:$A$3000,"&lt;"&amp;DATE(2020,5,31),'DATA INPUT'!$F$3:$F$3000,"&lt;&gt;*Exclude*")),#N/A))</f>
        <v>#N/A</v>
      </c>
      <c r="AR43" s="117" t="e">
        <f>IF($L$2="Yes",IFERROR((SUMIFS('DATA INPUT'!$E$3:$E$3000,'DATA INPUT'!$B$3:$B$3000,'Report Tables'!AR$1,'DATA INPUT'!$A$3:$A$3000,"&gt;="&amp;DATE(2020,5,1),'DATA INPUT'!$A$3:$A$3000,"&lt;"&amp;DATE(2020,5,31)))/COUNTIFS('DATA INPUT'!$B$3:$B$3000,'Report Tables'!AR$1,'DATA INPUT'!$A$3:$A$3000,"&gt;="&amp;DATE(2020,5,1),'DATA INPUT'!$A$3:$A$3000,"&lt;"&amp;DATE(2020,5,31)),#N/A),IFERROR((SUMIFS('DATA INPUT'!$E$3:$E$3000,'DATA INPUT'!$B$3:$B$3000,'Report Tables'!AR$1,'DATA INPUT'!$A$3:$A$3000,"&gt;="&amp;DATE(2020,5,1),'DATA INPUT'!$A$3:$A$3000,"&lt;"&amp;DATE(2020,5,31),'DATA INPUT'!$F$3:$F$3000,"&lt;&gt;*Exclude*"))/(COUNTIFS('DATA INPUT'!$B$3:$B$3000,'Report Tables'!AR$1,'DATA INPUT'!$A$3:$A$3000,"&gt;="&amp;DATE(2020,5,1),'DATA INPUT'!$A$3:$A$3000,"&lt;"&amp;DATE(2020,5,31),'DATA INPUT'!$F$3:$F$3000,"&lt;&gt;*Exclude*")),#N/A))</f>
        <v>#N/A</v>
      </c>
      <c r="AS43" s="117" t="e">
        <f>IF($L$2="Yes",IFERROR((SUMIFS('DATA INPUT'!$E$3:$E$3000,'DATA INPUT'!$B$3:$B$3000,'Report Tables'!AS$1,'DATA INPUT'!$A$3:$A$3000,"&gt;="&amp;DATE(2020,5,1),'DATA INPUT'!$A$3:$A$3000,"&lt;"&amp;DATE(2020,5,31)))/COUNTIFS('DATA INPUT'!$B$3:$B$3000,'Report Tables'!AS$1,'DATA INPUT'!$A$3:$A$3000,"&gt;="&amp;DATE(2020,5,1),'DATA INPUT'!$A$3:$A$3000,"&lt;"&amp;DATE(2020,5,31)),#N/A),IFERROR((SUMIFS('DATA INPUT'!$E$3:$E$3000,'DATA INPUT'!$B$3:$B$3000,'Report Tables'!AS$1,'DATA INPUT'!$A$3:$A$3000,"&gt;="&amp;DATE(2020,5,1),'DATA INPUT'!$A$3:$A$3000,"&lt;"&amp;DATE(2020,5,31),'DATA INPUT'!$F$3:$F$3000,"&lt;&gt;*Exclude*"))/(COUNTIFS('DATA INPUT'!$B$3:$B$3000,'Report Tables'!AS$1,'DATA INPUT'!$A$3:$A$3000,"&gt;="&amp;DATE(2020,5,1),'DATA INPUT'!$A$3:$A$3000,"&lt;"&amp;DATE(2020,5,31),'DATA INPUT'!$F$3:$F$3000,"&lt;&gt;*Exclude*")),#N/A))</f>
        <v>#N/A</v>
      </c>
      <c r="AT43" s="117" t="e">
        <f>IF($L$2="Yes",IFERROR((SUMIFS('DATA INPUT'!$E$3:$E$3000,'DATA INPUT'!$B$3:$B$3000,'Report Tables'!AT$1,'DATA INPUT'!$A$3:$A$3000,"&gt;="&amp;DATE(2020,5,1),'DATA INPUT'!$A$3:$A$3000,"&lt;"&amp;DATE(2020,5,31)))/COUNTIFS('DATA INPUT'!$B$3:$B$3000,'Report Tables'!AT$1,'DATA INPUT'!$A$3:$A$3000,"&gt;="&amp;DATE(2020,5,1),'DATA INPUT'!$A$3:$A$3000,"&lt;"&amp;DATE(2020,5,31)),#N/A),IFERROR((SUMIFS('DATA INPUT'!$E$3:$E$3000,'DATA INPUT'!$B$3:$B$3000,'Report Tables'!AT$1,'DATA INPUT'!$A$3:$A$3000,"&gt;="&amp;DATE(2020,5,1),'DATA INPUT'!$A$3:$A$3000,"&lt;"&amp;DATE(2020,5,31),'DATA INPUT'!$F$3:$F$3000,"&lt;&gt;*Exclude*"))/(COUNTIFS('DATA INPUT'!$B$3:$B$3000,'Report Tables'!AT$1,'DATA INPUT'!$A$3:$A$3000,"&gt;="&amp;DATE(2020,5,1),'DATA INPUT'!$A$3:$A$3000,"&lt;"&amp;DATE(2020,5,31),'DATA INPUT'!$F$3:$F$3000,"&lt;&gt;*Exclude*")),#N/A))</f>
        <v>#N/A</v>
      </c>
      <c r="AU43" s="117" t="e">
        <f t="shared" si="1"/>
        <v>#N/A</v>
      </c>
      <c r="AV43" s="117" t="e">
        <f>IF($L$2="Yes",IFERROR((SUMIFS('DATA INPUT'!$D$3:$D$3000,'DATA INPUT'!$A$3:$A$3000,"&gt;="&amp;DATE(2020,5,1),'DATA INPUT'!$A$3:$A$3000,"&lt;"&amp;DATE(2020,5,31),'DATA INPUT'!$G$3:$G$3000,"&lt;&gt;*School service*"))/COUNTIFS('DATA INPUT'!$A$3:$A$3000,"&gt;="&amp;DATE(2020,5,1),'DATA INPUT'!$A$3:$A$3000,"&lt;"&amp;DATE(2020,5,31),'DATA INPUT'!$G$3:$G$3000,"&lt;&gt;*School service*",'DATA INPUT'!$D$3:$D$3000,"&lt;&gt;"&amp;""),#N/A),IFERROR((SUMIFS('DATA INPUT'!$D$3:$D$3000,'DATA INPUT'!$A$3:$A$3000,"&gt;="&amp;DATE(2020,5,1),'DATA INPUT'!$A$3:$A$3000,"&lt;"&amp;DATE(2020,5,31),'DATA INPUT'!$F$3:$F$3000,"&lt;&gt;*Exclude*",'DATA INPUT'!$G$3:$G$3000,"&lt;&gt;*School service*"))/(COUNTIFS('DATA INPUT'!$A$3:$A$3000,"&gt;="&amp;DATE(2020,5,1),'DATA INPUT'!$A$3:$A$3000,"&lt;"&amp;DATE(2020,5,31),'DATA INPUT'!$F$3:$F$3000,"&lt;&gt;*Exclude*",'DATA INPUT'!$G$3:$G$3000,"&lt;&gt;*School service*",'DATA INPUT'!$D$3:$D$3000,"&lt;&gt;"&amp;"")),#N/A))</f>
        <v>#N/A</v>
      </c>
      <c r="AW43" s="117" t="e">
        <f t="shared" si="2"/>
        <v>#N/A</v>
      </c>
      <c r="AX43" s="117" t="e">
        <f>IF($L$2="Yes",IFERROR((SUMIFS('DATA INPUT'!$E$3:$E$3000,'DATA INPUT'!$B$3:$B$3000,'Report Tables'!AX$1,'DATA INPUT'!$A$3:$A$3000,"&gt;="&amp;DATE(2020,5,1),'DATA INPUT'!$A$3:$A$3000,"&lt;"&amp;DATE(2020,5,31)))/COUNTIFS('DATA INPUT'!$B$3:$B$3000,'Report Tables'!AX$1,'DATA INPUT'!$A$3:$A$3000,"&gt;="&amp;DATE(2020,5,1),'DATA INPUT'!$A$3:$A$3000,"&lt;"&amp;DATE(2020,5,31)),#N/A),IFERROR((SUMIFS('DATA INPUT'!$E$3:$E$3000,'DATA INPUT'!$B$3:$B$3000,'Report Tables'!AX$1,'DATA INPUT'!$A$3:$A$3000,"&gt;="&amp;DATE(2020,5,1),'DATA INPUT'!$A$3:$A$3000,"&lt;"&amp;DATE(2020,5,31),'DATA INPUT'!$F$3:$F$3000,"&lt;&gt;*Exclude*"))/(COUNTIFS('DATA INPUT'!$B$3:$B$3000,'Report Tables'!AX$1,'DATA INPUT'!$A$3:$A$3000,"&gt;="&amp;DATE(2020,5,1),'DATA INPUT'!$A$3:$A$3000,"&lt;"&amp;DATE(2020,5,31),'DATA INPUT'!$F$3:$F$3000,"&lt;&gt;*Exclude*")),#N/A))</f>
        <v>#N/A</v>
      </c>
      <c r="AY43" s="117" t="e">
        <f>IF($L$2="Yes",IFERROR((SUMIFS('DATA INPUT'!$D$3:$D$3000,'DATA INPUT'!$B$3:$B$3000,'Report Tables'!AX$1,'DATA INPUT'!$A$3:$A$3000,"&gt;="&amp;DATE(2020,5,1),'DATA INPUT'!$A$3:$A$3000,"&lt;"&amp;DATE(2020,5,31)))/COUNTIFS('DATA INPUT'!$B$3:$B$3000,'Report Tables'!AX$1,'DATA INPUT'!$A$3:$A$3000,"&gt;="&amp;DATE(2020,5,1),'DATA INPUT'!$A$3:$A$3000,"&lt;"&amp;DATE(2020,5,31)),#N/A),IFERROR((SUMIFS('DATA INPUT'!$D$3:$D$3000,'DATA INPUT'!$B$3:$B$3000,'Report Tables'!AX$1,'DATA INPUT'!$A$3:$A$3000,"&gt;="&amp;DATE(2020,5,1),'DATA INPUT'!$A$3:$A$3000,"&lt;"&amp;DATE(2020,5,31),'DATA INPUT'!$F$3:$F$3000,"&lt;&gt;*Exclude*"))/(COUNTIFS('DATA INPUT'!$B$3:$B$3000,'Report Tables'!AX$1,'DATA INPUT'!$A$3:$A$3000,"&gt;="&amp;DATE(2020,5,1),'DATA INPUT'!$A$3:$A$3000,"&lt;"&amp;DATE(2020,5,31),'DATA INPUT'!$F$3:$F$3000,"&lt;&gt;*Exclude*")),#N/A))</f>
        <v>#N/A</v>
      </c>
      <c r="AZ43" s="117" t="e">
        <f>IF($L$2="Yes",IFERROR((SUMIFS('DATA INPUT'!$C$3:$C$3000,'DATA INPUT'!$B$3:$B$3000,'Report Tables'!AX$1,'DATA INPUT'!$A$3:$A$3000,"&gt;="&amp;DATE(2020,5,1),'DATA INPUT'!$A$3:$A$3000,"&lt;"&amp;DATE(2020,5,31)))/COUNTIFS('DATA INPUT'!$B$3:$B$3000,'Report Tables'!AX$1,'DATA INPUT'!$A$3:$A$3000,"&gt;="&amp;DATE(2020,5,1),'DATA INPUT'!$A$3:$A$3000,"&lt;"&amp;DATE(2020,5,31)),#N/A),IFERROR((SUMIFS('DATA INPUT'!$C$3:$C$3000,'DATA INPUT'!$B$3:$B$3000,'Report Tables'!AX$1,'DATA INPUT'!$A$3:$A$3000,"&gt;="&amp;DATE(2020,5,1),'DATA INPUT'!$A$3:$A$3000,"&lt;"&amp;DATE(2020,5,31),'DATA INPUT'!$F$3:$F$3000,"&lt;&gt;*Exclude*"))/(COUNTIFS('DATA INPUT'!$B$3:$B$3000,'Report Tables'!AX$1,'DATA INPUT'!$A$3:$A$3000,"&gt;="&amp;DATE(2020,5,1),'DATA INPUT'!$A$3:$A$3000,"&lt;"&amp;DATE(2020,5,31),'DATA INPUT'!$F$3:$F$3000,"&lt;&gt;*Exclude*")),#N/A))</f>
        <v>#N/A</v>
      </c>
    </row>
    <row r="44" spans="1:52" x14ac:dyDescent="0.3">
      <c r="A44" s="95" t="e">
        <f>VLOOKUP(B44,Information!$C$8:$F$15,4,FALSE)</f>
        <v>#N/A</v>
      </c>
      <c r="B44" s="53">
        <f>$B$8</f>
        <v>0</v>
      </c>
      <c r="C44" s="58" t="e">
        <f>IF($L$2="Yes",(SUMIFS('DATA INPUT'!$C$3:$C$3000,'DATA INPUT'!$A$3:$A$3000,"&gt;="&amp;DATE(2017,1,1),'DATA INPUT'!$A$3:$A$3000,"&lt;="&amp;DATE(2017,12,31),'DATA INPUT'!$B$3:$B$3000,$B44))/(COUNTIFS('DATA INPUT'!$A$3:$A$3000,"&gt;="&amp;DATE(2017,1,1),'DATA INPUT'!$A$3:$A$3000,"&lt;="&amp;DATE(2017,12,31),'DATA INPUT'!$B$3:$B$3000,$B44)),(SUMIFS('DATA INPUT'!$C$3:$C$3000,'DATA INPUT'!$A$3:$A$3000,"&gt;="&amp;DATE(2017,1,1),'DATA INPUT'!$A$3:$A$3000,"&lt;="&amp;DATE(2017,12,31),'DATA INPUT'!$B$3:$B$3000,$B44,'DATA INPUT'!$F$3:$F$3000,"&lt;&gt;*Exclude*"))/(COUNTIFS('DATA INPUT'!$A$3:$A$3000,"&gt;="&amp;DATE(2017,1,1),'DATA INPUT'!$A$3:$A$3000,"&lt;="&amp;DATE(2017,12,31),'DATA INPUT'!$B$3:$B$3000,$B44,'DATA INPUT'!$F$3:$F$3000,"&lt;&gt;*Exclude*")))</f>
        <v>#DIV/0!</v>
      </c>
      <c r="D44" s="58" t="e">
        <f>IF($L$2="Yes",(SUMIFS('DATA INPUT'!$C$3:$C$3000,'DATA INPUT'!$A$3:$A$3000,"&gt;="&amp;DATE(2018,1,1),'DATA INPUT'!$A$3:$A$3000,"&lt;="&amp;DATE(2018,12,31),'DATA INPUT'!$B$3:$B$3000,$B44))/(COUNTIFS('DATA INPUT'!$A$3:$A$3000,"&gt;="&amp;DATE(2018,1,1),'DATA INPUT'!$A$3:$A$3000,"&lt;="&amp;DATE(2018,12,31),'DATA INPUT'!$B$3:$B$3000,$B44)),(SUMIFS('DATA INPUT'!$C$3:$C$3000,'DATA INPUT'!$A$3:$A$3000,"&gt;="&amp;DATE(2018,1,1),'DATA INPUT'!$A$3:$A$3000,"&lt;="&amp;DATE(2018,12,31),'DATA INPUT'!$B$3:$B$3000,$B44,'DATA INPUT'!$F$3:$F$3000,"&lt;&gt;*Exclude*"))/(COUNTIFS('DATA INPUT'!$A$3:$A$3000,"&gt;="&amp;DATE(2018,1,1),'DATA INPUT'!$A$3:$A$3000,"&lt;="&amp;DATE(2018,12,31),'DATA INPUT'!$B$3:$B$3000,$B44,'DATA INPUT'!$F$3:$F$3000,"&lt;&gt;*Exclude*")))</f>
        <v>#DIV/0!</v>
      </c>
      <c r="E44" s="58" t="e">
        <f>IF($L$2="Yes",(SUMIFS('DATA INPUT'!$C$3:$C$3000,'DATA INPUT'!$A$3:$A$3000,"&gt;="&amp;DATE(2019,1,1),'DATA INPUT'!$A$3:$A$3000,"&lt;="&amp;DATE(2019,12,31),'DATA INPUT'!$B$3:$B$3000,$B44))/(COUNTIFS('DATA INPUT'!$A$3:$A$3000,"&gt;="&amp;DATE(2019,1,1),'DATA INPUT'!$A$3:$A$3000,"&lt;="&amp;DATE(2019,12,31),'DATA INPUT'!$B$3:$B$3000,$B44)),(SUMIFS('DATA INPUT'!$C$3:$C$3000,'DATA INPUT'!$A$3:$A$3000,"&gt;="&amp;DATE(2019,1,1),'DATA INPUT'!$A$3:$A$3000,"&lt;="&amp;DATE(2019,12,31),'DATA INPUT'!$B$3:$B$3000,$B44,'DATA INPUT'!$F$3:$F$3000,"&lt;&gt;*Exclude*"))/(COUNTIFS('DATA INPUT'!$A$3:$A$3000,"&gt;="&amp;DATE(2019,1,1),'DATA INPUT'!$A$3:$A$3000,"&lt;="&amp;DATE(2019,12,31),'DATA INPUT'!$B$3:$B$3000,$B44,'DATA INPUT'!$F$3:$F$3000,"&lt;&gt;*Exclude*")))</f>
        <v>#DIV/0!</v>
      </c>
      <c r="F44" s="58" t="e">
        <f>IF($L$2="Yes",(SUMIFS('DATA INPUT'!$C$3:$C$3000,'DATA INPUT'!$A$3:$A$3000,"&gt;="&amp;DATE(2020,1,1),'DATA INPUT'!$A$3:$A$3000,"&lt;="&amp;DATE(2020,12,31),'DATA INPUT'!$B$3:$B$3000,$B44))/(COUNTIFS('DATA INPUT'!$A$3:$A$3000,"&gt;="&amp;DATE(2020,1,1),'DATA INPUT'!$A$3:$A$3000,"&lt;="&amp;DATE(2020,12,31),'DATA INPUT'!$B$3:$B$3000,$B44)),(SUMIFS('DATA INPUT'!$C$3:$C$3000,'DATA INPUT'!$A$3:$A$3000,"&gt;="&amp;DATE(2020,1,1),'DATA INPUT'!$A$3:$A$3000,"&lt;="&amp;DATE(2020,12,31),'DATA INPUT'!$B$3:$B$3000,$B44,'DATA INPUT'!$F$3:$F$3000,"&lt;&gt;*Exclude*"))/(COUNTIFS('DATA INPUT'!$A$3:$A$3000,"&gt;="&amp;DATE(2020,1,1),'DATA INPUT'!$A$3:$A$3000,"&lt;="&amp;DATE(2020,12,31),'DATA INPUT'!$B$3:$B$3000,$B44,'DATA INPUT'!$F$3:$F$3000,"&lt;&gt;*Exclude*")))</f>
        <v>#DIV/0!</v>
      </c>
      <c r="G44" s="58" t="e">
        <f>IF($L$2="Yes",(SUMIFS('DATA INPUT'!$C$3:$C$3000,'DATA INPUT'!$A$3:$A$3000,"&gt;="&amp;DATE(2021,1,1),'DATA INPUT'!$A$3:$A$3000,"&lt;="&amp;DATE(2021,12,31),'DATA INPUT'!$B$3:$B$3000,$B44))/(COUNTIFS('DATA INPUT'!$A$3:$A$3000,"&gt;="&amp;DATE(2021,1,1),'DATA INPUT'!$A$3:$A$3000,"&lt;="&amp;DATE(2021,12,31),'DATA INPUT'!$B$3:$B$3000,$B44)),(SUMIFS('DATA INPUT'!$C$3:$C$3000,'DATA INPUT'!$A$3:$A$3000,"&gt;="&amp;DATE(2021,1,1),'DATA INPUT'!$A$3:$A$3000,"&lt;="&amp;DATE(2021,12,31),'DATA INPUT'!$B$3:$B$3000,$B44,'DATA INPUT'!$F$3:$F$3000,"&lt;&gt;*Exclude*"))/(COUNTIFS('DATA INPUT'!$A$3:$A$3000,"&gt;="&amp;DATE(2021,1,1),'DATA INPUT'!$A$3:$A$3000,"&lt;="&amp;DATE(2021,12,31),'DATA INPUT'!$B$3:$B$3000,$B44,'DATA INPUT'!$F$3:$F$3000,"&lt;&gt;*Exclude*")))</f>
        <v>#DIV/0!</v>
      </c>
      <c r="H44" s="58" t="e">
        <f>IF($L$2="Yes",(SUMIFS('DATA INPUT'!$C$3:$C$3000,'DATA INPUT'!$A$3:$A$3000,"&gt;="&amp;DATE(2022,1,1),'DATA INPUT'!$A$3:$A$3000,"&lt;="&amp;DATE(2022,12,31),'DATA INPUT'!$B$3:$B$3000,$B44))/(COUNTIFS('DATA INPUT'!$A$3:$A$3000,"&gt;="&amp;DATE(2022,1,1),'DATA INPUT'!$A$3:$A$3000,"&lt;="&amp;DATE(2022,12,31),'DATA INPUT'!$B$3:$B$3000,$B44)),(SUMIFS('DATA INPUT'!$C$3:$C$3000,'DATA INPUT'!$A$3:$A$3000,"&gt;="&amp;DATE(2022,1,1),'DATA INPUT'!$A$3:$A$3000,"&lt;="&amp;DATE(2022,12,31),'DATA INPUT'!$B$3:$B$3000,$B44,'DATA INPUT'!$F$3:$F$3000,"&lt;&gt;*Exclude*"))/(COUNTIFS('DATA INPUT'!$A$3:$A$3000,"&gt;="&amp;DATE(2022,1,1),'DATA INPUT'!$A$3:$A$3000,"&lt;="&amp;DATE(2022,12,31),'DATA INPUT'!$B$3:$B$3000,$B44,'DATA INPUT'!$F$3:$F$3000,"&lt;&gt;*Exclude*")))</f>
        <v>#DIV/0!</v>
      </c>
      <c r="I44" s="58" t="e">
        <f>IF($L$2="Yes",(SUMIFS('DATA INPUT'!$C$3:$C$3000,'DATA INPUT'!$A$3:$A$3000,"&gt;="&amp;DATE(2023,1,1),'DATA INPUT'!$A$3:$A$3000,"&lt;="&amp;DATE(2023,12,31),'DATA INPUT'!$B$3:$B$3000,$B44))/(COUNTIFS('DATA INPUT'!$A$3:$A$3000,"&gt;="&amp;DATE(2023,1,1),'DATA INPUT'!$A$3:$A$3000,"&lt;="&amp;DATE(2023,12,31),'DATA INPUT'!$B$3:$B$3000,$B44)),(SUMIFS('DATA INPUT'!$C$3:$C$3000,'DATA INPUT'!$A$3:$A$3000,"&gt;="&amp;DATE(2023,1,1),'DATA INPUT'!$A$3:$A$3000,"&lt;="&amp;DATE(2023,12,31),'DATA INPUT'!$B$3:$B$3000,$B44,'DATA INPUT'!$F$3:$F$3000,"&lt;&gt;*Exclude*"))/(COUNTIFS('DATA INPUT'!$A$3:$A$3000,"&gt;="&amp;DATE(2023,1,1),'DATA INPUT'!$A$3:$A$3000,"&lt;="&amp;DATE(2023,12,31),'DATA INPUT'!$B$3:$B$3000,$B44,'DATA INPUT'!$F$3:$F$3000,"&lt;&gt;*Exclude*")))</f>
        <v>#DIV/0!</v>
      </c>
      <c r="J44" s="58" t="e">
        <f>IF($L$2="Yes",(SUMIFS('DATA INPUT'!$C$3:$C$3000,'DATA INPUT'!$A$3:$A$3000,"&gt;="&amp;DATE(2024,1,1),'DATA INPUT'!$A$3:$A$3000,"&lt;="&amp;DATE(2024,12,31),'DATA INPUT'!$B$3:$B$3000,$B44))/(COUNTIFS('DATA INPUT'!$A$3:$A$3000,"&gt;="&amp;DATE(2024,1,1),'DATA INPUT'!$A$3:$A$3000,"&lt;="&amp;DATE(2024,12,31),'DATA INPUT'!$B$3:$B$3000,$B44)),(SUMIFS('DATA INPUT'!$C$3:$C$3000,'DATA INPUT'!$A$3:$A$3000,"&gt;="&amp;DATE(2024,1,1),'DATA INPUT'!$A$3:$A$3000,"&lt;="&amp;DATE(2024,12,31),'DATA INPUT'!$B$3:$B$3000,$B44,'DATA INPUT'!$F$3:$F$3000,"&lt;&gt;*Exclude*"))/(COUNTIFS('DATA INPUT'!$A$3:$A$3000,"&gt;="&amp;DATE(2024,1,1),'DATA INPUT'!$A$3:$A$3000,"&lt;="&amp;DATE(2024,12,31),'DATA INPUT'!$B$3:$B$3000,$B44,'DATA INPUT'!$F$3:$F$3000,"&lt;&gt;*Exclude*")))</f>
        <v>#DIV/0!</v>
      </c>
      <c r="K44" s="58" t="e">
        <f>IF($L$2="Yes",(SUMIFS('DATA INPUT'!$C$3:$C$3000,'DATA INPUT'!$A$3:$A$3000,"&gt;="&amp;DATE(2025,1,1),'DATA INPUT'!$A$3:$A$3000,"&lt;="&amp;DATE(2025,12,31),'DATA INPUT'!$B$3:$B$3000,$B44))/(COUNTIFS('DATA INPUT'!$A$3:$A$3000,"&gt;="&amp;DATE(2025,1,1),'DATA INPUT'!$A$3:$A$3000,"&lt;="&amp;DATE(2025,12,31),'DATA INPUT'!$B$3:$B$3000,$B44)),(SUMIFS('DATA INPUT'!$C$3:$C$3000,'DATA INPUT'!$A$3:$A$3000,"&gt;="&amp;DATE(2025,1,1),'DATA INPUT'!$A$3:$A$3000,"&lt;="&amp;DATE(2025,12,31),'DATA INPUT'!$B$3:$B$3000,$B44,'DATA INPUT'!$F$3:$F$3000,"&lt;&gt;*Exclude*"))/(COUNTIFS('DATA INPUT'!$A$3:$A$3000,"&gt;="&amp;DATE(2025,1,1),'DATA INPUT'!$A$3:$A$3000,"&lt;="&amp;DATE(2025,12,31),'DATA INPUT'!$B$3:$B$3000,$B44,'DATA INPUT'!$F$3:$F$3000,"&lt;&gt;*Exclude*")))</f>
        <v>#DIV/0!</v>
      </c>
      <c r="L44" s="72" t="str">
        <f t="shared" si="17"/>
        <v/>
      </c>
      <c r="Y44" s="149"/>
      <c r="Z44" s="149" t="s">
        <v>17</v>
      </c>
      <c r="AA44" s="136" t="e">
        <f>IF($L$2="Yes",IF(SUMIFS('DATA INPUT'!$E$3:$E$3000,'DATA INPUT'!$B$3:$B$3000,'Report Tables'!AA$1,'DATA INPUT'!$A$3:$A$3000,"&gt;="&amp;DATE(2020,6,1),'DATA INPUT'!$A$3:$A$3000,"&lt;"&amp;DATE(2020,6,31))=0,#N/A,(SUMIFS('DATA INPUT'!$E$3:$E$3000,'DATA INPUT'!$B$3:$B$3000,'Report Tables'!AA$1,'DATA INPUT'!$A$3:$A$3000,"&gt;="&amp;DATE(2020,6,1),'DATA INPUT'!$A$3:$A$3000,"&lt;"&amp;DATE(2020,6,31)))),IF(SUMIFS('DATA INPUT'!$E$3:$E$3000,'DATA INPUT'!$B$3:$B$3000,'Report Tables'!AA$1,'DATA INPUT'!$A$3:$A$3000,"&gt;="&amp;DATE(2020,6,1),'DATA INPUT'!$A$3:$A$3000,"&lt;"&amp;DATE(2020,6,31),'DATA INPUT'!$F$3:$F$3000,"&lt;&gt;*Exclude*")=0,#N/A,(SUMIFS('DATA INPUT'!$E$3:$E$3000,'DATA INPUT'!$B$3:$B$3000,'Report Tables'!AA$1,'DATA INPUT'!$A$3:$A$3000,"&gt;="&amp;DATE(2020,6,1),'DATA INPUT'!$A$3:$A$3000,"&lt;"&amp;DATE(2020,6,31),'DATA INPUT'!$F$3:$F$3000,"&lt;&gt;*Exclude*"))))</f>
        <v>#N/A</v>
      </c>
      <c r="AB44" s="136" t="e">
        <f>IF($L$2="Yes",IF(SUMIFS('DATA INPUT'!$E$3:$E$3000,'DATA INPUT'!$B$3:$B$3000,'Report Tables'!AB$1,'DATA INPUT'!$A$3:$A$3000,"&gt;="&amp;DATE(2020,6,1),'DATA INPUT'!$A$3:$A$3000,"&lt;"&amp;DATE(2020,6,31))=0,#N/A,(SUMIFS('DATA INPUT'!$E$3:$E$3000,'DATA INPUT'!$B$3:$B$3000,'Report Tables'!AB$1,'DATA INPUT'!$A$3:$A$3000,"&gt;="&amp;DATE(2020,6,1),'DATA INPUT'!$A$3:$A$3000,"&lt;"&amp;DATE(2020,6,31)))),IF(SUMIFS('DATA INPUT'!$E$3:$E$3000,'DATA INPUT'!$B$3:$B$3000,'Report Tables'!AB$1,'DATA INPUT'!$A$3:$A$3000,"&gt;="&amp;DATE(2020,6,1),'DATA INPUT'!$A$3:$A$3000,"&lt;"&amp;DATE(2020,6,31),'DATA INPUT'!$F$3:$F$3000,"&lt;&gt;*Exclude*")=0,#N/A,(SUMIFS('DATA INPUT'!$E$3:$E$3000,'DATA INPUT'!$B$3:$B$3000,'Report Tables'!AB$1,'DATA INPUT'!$A$3:$A$3000,"&gt;="&amp;DATE(2020,6,1),'DATA INPUT'!$A$3:$A$3000,"&lt;"&amp;DATE(2020,6,31),'DATA INPUT'!$F$3:$F$3000,"&lt;&gt;*Exclude*"))))</f>
        <v>#N/A</v>
      </c>
      <c r="AC44" s="136" t="e">
        <f>IF($L$2="Yes",IF(SUMIFS('DATA INPUT'!$E$3:$E$3000,'DATA INPUT'!$B$3:$B$3000,'Report Tables'!AC$1,'DATA INPUT'!$A$3:$A$3000,"&gt;="&amp;DATE(2020,6,1),'DATA INPUT'!$A$3:$A$3000,"&lt;"&amp;DATE(2020,6,31))=0,#N/A,(SUMIFS('DATA INPUT'!$E$3:$E$3000,'DATA INPUT'!$B$3:$B$3000,'Report Tables'!AC$1,'DATA INPUT'!$A$3:$A$3000,"&gt;="&amp;DATE(2020,6,1),'DATA INPUT'!$A$3:$A$3000,"&lt;"&amp;DATE(2020,6,31)))),IF(SUMIFS('DATA INPUT'!$E$3:$E$3000,'DATA INPUT'!$B$3:$B$3000,'Report Tables'!AC$1,'DATA INPUT'!$A$3:$A$3000,"&gt;="&amp;DATE(2020,6,1),'DATA INPUT'!$A$3:$A$3000,"&lt;"&amp;DATE(2020,6,31),'DATA INPUT'!$F$3:$F$3000,"&lt;&gt;*Exclude*")=0,#N/A,(SUMIFS('DATA INPUT'!$E$3:$E$3000,'DATA INPUT'!$B$3:$B$3000,'Report Tables'!AC$1,'DATA INPUT'!$A$3:$A$3000,"&gt;="&amp;DATE(2020,6,1),'DATA INPUT'!$A$3:$A$3000,"&lt;"&amp;DATE(2020,6,31),'DATA INPUT'!$F$3:$F$3000,"&lt;&gt;*Exclude*"))))</f>
        <v>#N/A</v>
      </c>
      <c r="AD44" s="136" t="e">
        <f>IF($L$2="Yes",IF(SUMIFS('DATA INPUT'!$E$3:$E$3000,'DATA INPUT'!$B$3:$B$3000,'Report Tables'!AD$1,'DATA INPUT'!$A$3:$A$3000,"&gt;="&amp;DATE(2020,6,1),'DATA INPUT'!$A$3:$A$3000,"&lt;"&amp;DATE(2020,6,31))=0,#N/A,(SUMIFS('DATA INPUT'!$E$3:$E$3000,'DATA INPUT'!$B$3:$B$3000,'Report Tables'!AD$1,'DATA INPUT'!$A$3:$A$3000,"&gt;="&amp;DATE(2020,6,1),'DATA INPUT'!$A$3:$A$3000,"&lt;"&amp;DATE(2020,6,31)))),IF(SUMIFS('DATA INPUT'!$E$3:$E$3000,'DATA INPUT'!$B$3:$B$3000,'Report Tables'!AD$1,'DATA INPUT'!$A$3:$A$3000,"&gt;="&amp;DATE(2020,6,1),'DATA INPUT'!$A$3:$A$3000,"&lt;"&amp;DATE(2020,6,31),'DATA INPUT'!$F$3:$F$3000,"&lt;&gt;*Exclude*")=0,#N/A,(SUMIFS('DATA INPUT'!$E$3:$E$3000,'DATA INPUT'!$B$3:$B$3000,'Report Tables'!AD$1,'DATA INPUT'!$A$3:$A$3000,"&gt;="&amp;DATE(2020,6,1),'DATA INPUT'!$A$3:$A$3000,"&lt;"&amp;DATE(2020,6,31),'DATA INPUT'!$F$3:$F$3000,"&lt;&gt;*Exclude*"))))</f>
        <v>#N/A</v>
      </c>
      <c r="AE44" s="136" t="e">
        <f>IF($L$2="Yes",IF(SUMIFS('DATA INPUT'!$E$3:$E$3000,'DATA INPUT'!$B$3:$B$3000,'Report Tables'!AE$1,'DATA INPUT'!$A$3:$A$3000,"&gt;="&amp;DATE(2020,6,1),'DATA INPUT'!$A$3:$A$3000,"&lt;"&amp;DATE(2020,6,31))=0,#N/A,(SUMIFS('DATA INPUT'!$E$3:$E$3000,'DATA INPUT'!$B$3:$B$3000,'Report Tables'!AE$1,'DATA INPUT'!$A$3:$A$3000,"&gt;="&amp;DATE(2020,6,1),'DATA INPUT'!$A$3:$A$3000,"&lt;"&amp;DATE(2020,6,31)))),IF(SUMIFS('DATA INPUT'!$E$3:$E$3000,'DATA INPUT'!$B$3:$B$3000,'Report Tables'!AE$1,'DATA INPUT'!$A$3:$A$3000,"&gt;="&amp;DATE(2020,6,1),'DATA INPUT'!$A$3:$A$3000,"&lt;"&amp;DATE(2020,6,31),'DATA INPUT'!$F$3:$F$3000,"&lt;&gt;*Exclude*")=0,#N/A,(SUMIFS('DATA INPUT'!$E$3:$E$3000,'DATA INPUT'!$B$3:$B$3000,'Report Tables'!AE$1,'DATA INPUT'!$A$3:$A$3000,"&gt;="&amp;DATE(2020,6,1),'DATA INPUT'!$A$3:$A$3000,"&lt;"&amp;DATE(2020,6,31),'DATA INPUT'!$F$3:$F$3000,"&lt;&gt;*Exclude*"))))</f>
        <v>#N/A</v>
      </c>
      <c r="AF44" s="136" t="e">
        <f>IF($L$2="Yes",IF(SUMIFS('DATA INPUT'!$E$3:$E$3000,'DATA INPUT'!$B$3:$B$3000,'Report Tables'!AF$1,'DATA INPUT'!$A$3:$A$3000,"&gt;="&amp;DATE(2020,6,1),'DATA INPUT'!$A$3:$A$3000,"&lt;"&amp;DATE(2020,6,31))=0,#N/A,(SUMIFS('DATA INPUT'!$E$3:$E$3000,'DATA INPUT'!$B$3:$B$3000,'Report Tables'!AF$1,'DATA INPUT'!$A$3:$A$3000,"&gt;="&amp;DATE(2020,6,1),'DATA INPUT'!$A$3:$A$3000,"&lt;"&amp;DATE(2020,6,31)))),IF(SUMIFS('DATA INPUT'!$E$3:$E$3000,'DATA INPUT'!$B$3:$B$3000,'Report Tables'!AF$1,'DATA INPUT'!$A$3:$A$3000,"&gt;="&amp;DATE(2020,6,1),'DATA INPUT'!$A$3:$A$3000,"&lt;"&amp;DATE(2020,6,31),'DATA INPUT'!$F$3:$F$3000,"&lt;&gt;*Exclude*")=0,#N/A,(SUMIFS('DATA INPUT'!$E$3:$E$3000,'DATA INPUT'!$B$3:$B$3000,'Report Tables'!AF$1,'DATA INPUT'!$A$3:$A$3000,"&gt;="&amp;DATE(2020,6,1),'DATA INPUT'!$A$3:$A$3000,"&lt;"&amp;DATE(2020,6,31),'DATA INPUT'!$F$3:$F$3000,"&lt;&gt;*Exclude*"))))</f>
        <v>#N/A</v>
      </c>
      <c r="AG44" s="136" t="e">
        <f>IF($L$2="Yes",IF(SUMIFS('DATA INPUT'!$E$3:$E$3000,'DATA INPUT'!$B$3:$B$3000,'Report Tables'!AG$1,'DATA INPUT'!$A$3:$A$3000,"&gt;="&amp;DATE(2020,6,1),'DATA INPUT'!$A$3:$A$3000,"&lt;"&amp;DATE(2020,6,31))=0,#N/A,(SUMIFS('DATA INPUT'!$E$3:$E$3000,'DATA INPUT'!$B$3:$B$3000,'Report Tables'!AG$1,'DATA INPUT'!$A$3:$A$3000,"&gt;="&amp;DATE(2020,6,1),'DATA INPUT'!$A$3:$A$3000,"&lt;"&amp;DATE(2020,6,31)))),IF(SUMIFS('DATA INPUT'!$E$3:$E$3000,'DATA INPUT'!$B$3:$B$3000,'Report Tables'!AG$1,'DATA INPUT'!$A$3:$A$3000,"&gt;="&amp;DATE(2020,6,1),'DATA INPUT'!$A$3:$A$3000,"&lt;"&amp;DATE(2020,6,31),'DATA INPUT'!$F$3:$F$3000,"&lt;&gt;*Exclude*")=0,#N/A,(SUMIFS('DATA INPUT'!$E$3:$E$3000,'DATA INPUT'!$B$3:$B$3000,'Report Tables'!AG$1,'DATA INPUT'!$A$3:$A$3000,"&gt;="&amp;DATE(2020,6,1),'DATA INPUT'!$A$3:$A$3000,"&lt;"&amp;DATE(2020,6,31),'DATA INPUT'!$F$3:$F$3000,"&lt;&gt;*Exclude*"))))</f>
        <v>#N/A</v>
      </c>
      <c r="AH44" s="136" t="e">
        <f>IF($L$2="Yes",IF(SUMIFS('DATA INPUT'!$E$3:$E$3000,'DATA INPUT'!$B$3:$B$3000,'Report Tables'!AH$1,'DATA INPUT'!$A$3:$A$3000,"&gt;="&amp;DATE(2020,6,1),'DATA INPUT'!$A$3:$A$3000,"&lt;"&amp;DATE(2020,6,31))=0,#N/A,(SUMIFS('DATA INPUT'!$E$3:$E$3000,'DATA INPUT'!$B$3:$B$3000,'Report Tables'!AH$1,'DATA INPUT'!$A$3:$A$3000,"&gt;="&amp;DATE(2020,6,1),'DATA INPUT'!$A$3:$A$3000,"&lt;"&amp;DATE(2020,6,31)))),IF(SUMIFS('DATA INPUT'!$E$3:$E$3000,'DATA INPUT'!$B$3:$B$3000,'Report Tables'!AH$1,'DATA INPUT'!$A$3:$A$3000,"&gt;="&amp;DATE(2020,6,1),'DATA INPUT'!$A$3:$A$3000,"&lt;"&amp;DATE(2020,6,31),'DATA INPUT'!$F$3:$F$3000,"&lt;&gt;*Exclude*")=0,#N/A,(SUMIFS('DATA INPUT'!$E$3:$E$3000,'DATA INPUT'!$B$3:$B$3000,'Report Tables'!AH$1,'DATA INPUT'!$A$3:$A$3000,"&gt;="&amp;DATE(2020,6,1),'DATA INPUT'!$A$3:$A$3000,"&lt;"&amp;DATE(2020,6,31),'DATA INPUT'!$F$3:$F$3000,"&lt;&gt;*Exclude*"))))</f>
        <v>#N/A</v>
      </c>
      <c r="AI44" s="136" t="e">
        <f t="shared" si="0"/>
        <v>#N/A</v>
      </c>
      <c r="AJ44" s="136" t="e">
        <f>IF($L$2="Yes",IF(SUMIFS('DATA INPUT'!$D$3:$D$3000,'DATA INPUT'!$A$3:$A$3000,"&gt;="&amp;DATE(2020,6,1),'DATA INPUT'!$A$3:$A$3000,"&lt;"&amp;DATE(2020,6,31),'DATA INPUT'!$G$3:$G$3000,"&lt;&gt;*School service*")=0,#N/A,(SUMIFS('DATA INPUT'!$D$3:$D$3000,'DATA INPUT'!$A$3:$A$3000,"&gt;="&amp;DATE(2020,6,1),'DATA INPUT'!$A$3:$A$3000,"&lt;"&amp;DATE(2020,6,31),'DATA INPUT'!$G$3:$G$3000,"&lt;&gt;*School service*"))),IF(SUMIFS('DATA INPUT'!$D$3:$D$3000,'DATA INPUT'!$A$3:$A$3000,"&gt;="&amp;DATE(2020,6,1),'DATA INPUT'!$A$3:$A$3000,"&lt;"&amp;DATE(2020,6,31),'DATA INPUT'!$F$3:$F$3000,"&lt;&gt;*Exclude*",'DATA INPUT'!$G$3:$G$3000,"&lt;&gt;*School service*")=0,#N/A,(SUMIFS('DATA INPUT'!$D$3:$D$3000,'DATA INPUT'!$A$3:$A$3000,"&gt;="&amp;DATE(2020,6,1),'DATA INPUT'!$A$3:$A$3000,"&lt;"&amp;DATE(2020,6,31),'DATA INPUT'!$F$3:$F$3000,"&lt;&gt;*Exclude*",'DATA INPUT'!$G$3:$G$3000,"&lt;&gt;*School service*"))))</f>
        <v>#N/A</v>
      </c>
      <c r="AK44" s="136" t="e">
        <f>AI44-AJ44</f>
        <v>#N/A</v>
      </c>
      <c r="AM44" s="117" t="e">
        <f>IF($L$2="Yes",IFERROR((SUMIFS('DATA INPUT'!$E$3:$E$3000,'DATA INPUT'!$B$3:$B$3000,'Report Tables'!AM$1,'DATA INPUT'!$A$3:$A$3000,"&gt;="&amp;DATE(2020,6,1),'DATA INPUT'!$A$3:$A$3000,"&lt;"&amp;DATE(2020,6,31)))/COUNTIFS('DATA INPUT'!$B$3:$B$3000,'Report Tables'!AM$1,'DATA INPUT'!$A$3:$A$3000,"&gt;="&amp;DATE(2020,6,1),'DATA INPUT'!$A$3:$A$3000,"&lt;"&amp;DATE(2020,6,31)),#N/A),IFERROR((SUMIFS('DATA INPUT'!$E$3:$E$3000,'DATA INPUT'!$B$3:$B$3000,'Report Tables'!AM$1,'DATA INPUT'!$A$3:$A$3000,"&gt;="&amp;DATE(2020,6,1),'DATA INPUT'!$A$3:$A$3000,"&lt;"&amp;DATE(2020,6,31),'DATA INPUT'!$F$3:$F$3000,"&lt;&gt;*Exclude*"))/(COUNTIFS('DATA INPUT'!$B$3:$B$3000,'Report Tables'!AM$1,'DATA INPUT'!$A$3:$A$3000,"&gt;="&amp;DATE(2020,6,1),'DATA INPUT'!$A$3:$A$3000,"&lt;"&amp;DATE(2020,6,31),'DATA INPUT'!$F$3:$F$3000,"&lt;&gt;*Exclude*")),#N/A))</f>
        <v>#N/A</v>
      </c>
      <c r="AN44" s="117" t="e">
        <f>IF($L$2="Yes",IFERROR((SUMIFS('DATA INPUT'!$E$3:$E$3000,'DATA INPUT'!$B$3:$B$3000,'Report Tables'!AN$1,'DATA INPUT'!$A$3:$A$3000,"&gt;="&amp;DATE(2020,6,1),'DATA INPUT'!$A$3:$A$3000,"&lt;"&amp;DATE(2020,6,31)))/COUNTIFS('DATA INPUT'!$B$3:$B$3000,'Report Tables'!AN$1,'DATA INPUT'!$A$3:$A$3000,"&gt;="&amp;DATE(2020,6,1),'DATA INPUT'!$A$3:$A$3000,"&lt;"&amp;DATE(2020,6,31)),#N/A),IFERROR((SUMIFS('DATA INPUT'!$E$3:$E$3000,'DATA INPUT'!$B$3:$B$3000,'Report Tables'!AN$1,'DATA INPUT'!$A$3:$A$3000,"&gt;="&amp;DATE(2020,6,1),'DATA INPUT'!$A$3:$A$3000,"&lt;"&amp;DATE(2020,6,31),'DATA INPUT'!$F$3:$F$3000,"&lt;&gt;*Exclude*"))/(COUNTIFS('DATA INPUT'!$B$3:$B$3000,'Report Tables'!AN$1,'DATA INPUT'!$A$3:$A$3000,"&gt;="&amp;DATE(2020,6,1),'DATA INPUT'!$A$3:$A$3000,"&lt;"&amp;DATE(2020,6,31),'DATA INPUT'!$F$3:$F$3000,"&lt;&gt;*Exclude*")),#N/A))</f>
        <v>#N/A</v>
      </c>
      <c r="AO44" s="117" t="e">
        <f>IF($L$2="Yes",IFERROR((SUMIFS('DATA INPUT'!$E$3:$E$3000,'DATA INPUT'!$B$3:$B$3000,'Report Tables'!AO$1,'DATA INPUT'!$A$3:$A$3000,"&gt;="&amp;DATE(2020,6,1),'DATA INPUT'!$A$3:$A$3000,"&lt;"&amp;DATE(2020,6,31)))/COUNTIFS('DATA INPUT'!$B$3:$B$3000,'Report Tables'!AO$1,'DATA INPUT'!$A$3:$A$3000,"&gt;="&amp;DATE(2020,6,1),'DATA INPUT'!$A$3:$A$3000,"&lt;"&amp;DATE(2020,6,31)),#N/A),IFERROR((SUMIFS('DATA INPUT'!$E$3:$E$3000,'DATA INPUT'!$B$3:$B$3000,'Report Tables'!AO$1,'DATA INPUT'!$A$3:$A$3000,"&gt;="&amp;DATE(2020,6,1),'DATA INPUT'!$A$3:$A$3000,"&lt;"&amp;DATE(2020,6,31),'DATA INPUT'!$F$3:$F$3000,"&lt;&gt;*Exclude*"))/(COUNTIFS('DATA INPUT'!$B$3:$B$3000,'Report Tables'!AO$1,'DATA INPUT'!$A$3:$A$3000,"&gt;="&amp;DATE(2020,6,1),'DATA INPUT'!$A$3:$A$3000,"&lt;"&amp;DATE(2020,6,31),'DATA INPUT'!$F$3:$F$3000,"&lt;&gt;*Exclude*")),#N/A))</f>
        <v>#N/A</v>
      </c>
      <c r="AP44" s="117" t="e">
        <f>IF($L$2="Yes",IFERROR((SUMIFS('DATA INPUT'!$E$3:$E$3000,'DATA INPUT'!$B$3:$B$3000,'Report Tables'!AP$1,'DATA INPUT'!$A$3:$A$3000,"&gt;="&amp;DATE(2020,6,1),'DATA INPUT'!$A$3:$A$3000,"&lt;"&amp;DATE(2020,6,31)))/COUNTIFS('DATA INPUT'!$B$3:$B$3000,'Report Tables'!AP$1,'DATA INPUT'!$A$3:$A$3000,"&gt;="&amp;DATE(2020,6,1),'DATA INPUT'!$A$3:$A$3000,"&lt;"&amp;DATE(2020,6,31)),#N/A),IFERROR((SUMIFS('DATA INPUT'!$E$3:$E$3000,'DATA INPUT'!$B$3:$B$3000,'Report Tables'!AP$1,'DATA INPUT'!$A$3:$A$3000,"&gt;="&amp;DATE(2020,6,1),'DATA INPUT'!$A$3:$A$3000,"&lt;"&amp;DATE(2020,6,31),'DATA INPUT'!$F$3:$F$3000,"&lt;&gt;*Exclude*"))/(COUNTIFS('DATA INPUT'!$B$3:$B$3000,'Report Tables'!AP$1,'DATA INPUT'!$A$3:$A$3000,"&gt;="&amp;DATE(2020,6,1),'DATA INPUT'!$A$3:$A$3000,"&lt;"&amp;DATE(2020,6,31),'DATA INPUT'!$F$3:$F$3000,"&lt;&gt;*Exclude*")),#N/A))</f>
        <v>#N/A</v>
      </c>
      <c r="AQ44" s="117" t="e">
        <f>IF($L$2="Yes",IFERROR((SUMIFS('DATA INPUT'!$E$3:$E$3000,'DATA INPUT'!$B$3:$B$3000,'Report Tables'!AQ$1,'DATA INPUT'!$A$3:$A$3000,"&gt;="&amp;DATE(2020,6,1),'DATA INPUT'!$A$3:$A$3000,"&lt;"&amp;DATE(2020,6,31)))/COUNTIFS('DATA INPUT'!$B$3:$B$3000,'Report Tables'!AQ$1,'DATA INPUT'!$A$3:$A$3000,"&gt;="&amp;DATE(2020,6,1),'DATA INPUT'!$A$3:$A$3000,"&lt;"&amp;DATE(2020,6,31)),#N/A),IFERROR((SUMIFS('DATA INPUT'!$E$3:$E$3000,'DATA INPUT'!$B$3:$B$3000,'Report Tables'!AQ$1,'DATA INPUT'!$A$3:$A$3000,"&gt;="&amp;DATE(2020,6,1),'DATA INPUT'!$A$3:$A$3000,"&lt;"&amp;DATE(2020,6,31),'DATA INPUT'!$F$3:$F$3000,"&lt;&gt;*Exclude*"))/(COUNTIFS('DATA INPUT'!$B$3:$B$3000,'Report Tables'!AQ$1,'DATA INPUT'!$A$3:$A$3000,"&gt;="&amp;DATE(2020,6,1),'DATA INPUT'!$A$3:$A$3000,"&lt;"&amp;DATE(2020,6,31),'DATA INPUT'!$F$3:$F$3000,"&lt;&gt;*Exclude*")),#N/A))</f>
        <v>#N/A</v>
      </c>
      <c r="AR44" s="117" t="e">
        <f>IF($L$2="Yes",IFERROR((SUMIFS('DATA INPUT'!$E$3:$E$3000,'DATA INPUT'!$B$3:$B$3000,'Report Tables'!AR$1,'DATA INPUT'!$A$3:$A$3000,"&gt;="&amp;DATE(2020,6,1),'DATA INPUT'!$A$3:$A$3000,"&lt;"&amp;DATE(2020,6,31)))/COUNTIFS('DATA INPUT'!$B$3:$B$3000,'Report Tables'!AR$1,'DATA INPUT'!$A$3:$A$3000,"&gt;="&amp;DATE(2020,6,1),'DATA INPUT'!$A$3:$A$3000,"&lt;"&amp;DATE(2020,6,31)),#N/A),IFERROR((SUMIFS('DATA INPUT'!$E$3:$E$3000,'DATA INPUT'!$B$3:$B$3000,'Report Tables'!AR$1,'DATA INPUT'!$A$3:$A$3000,"&gt;="&amp;DATE(2020,6,1),'DATA INPUT'!$A$3:$A$3000,"&lt;"&amp;DATE(2020,6,31),'DATA INPUT'!$F$3:$F$3000,"&lt;&gt;*Exclude*"))/(COUNTIFS('DATA INPUT'!$B$3:$B$3000,'Report Tables'!AR$1,'DATA INPUT'!$A$3:$A$3000,"&gt;="&amp;DATE(2020,6,1),'DATA INPUT'!$A$3:$A$3000,"&lt;"&amp;DATE(2020,6,31),'DATA INPUT'!$F$3:$F$3000,"&lt;&gt;*Exclude*")),#N/A))</f>
        <v>#N/A</v>
      </c>
      <c r="AS44" s="117" t="e">
        <f>IF($L$2="Yes",IFERROR((SUMIFS('DATA INPUT'!$E$3:$E$3000,'DATA INPUT'!$B$3:$B$3000,'Report Tables'!AS$1,'DATA INPUT'!$A$3:$A$3000,"&gt;="&amp;DATE(2020,6,1),'DATA INPUT'!$A$3:$A$3000,"&lt;"&amp;DATE(2020,6,31)))/COUNTIFS('DATA INPUT'!$B$3:$B$3000,'Report Tables'!AS$1,'DATA INPUT'!$A$3:$A$3000,"&gt;="&amp;DATE(2020,6,1),'DATA INPUT'!$A$3:$A$3000,"&lt;"&amp;DATE(2020,6,31)),#N/A),IFERROR((SUMIFS('DATA INPUT'!$E$3:$E$3000,'DATA INPUT'!$B$3:$B$3000,'Report Tables'!AS$1,'DATA INPUT'!$A$3:$A$3000,"&gt;="&amp;DATE(2020,6,1),'DATA INPUT'!$A$3:$A$3000,"&lt;"&amp;DATE(2020,6,31),'DATA INPUT'!$F$3:$F$3000,"&lt;&gt;*Exclude*"))/(COUNTIFS('DATA INPUT'!$B$3:$B$3000,'Report Tables'!AS$1,'DATA INPUT'!$A$3:$A$3000,"&gt;="&amp;DATE(2020,6,1),'DATA INPUT'!$A$3:$A$3000,"&lt;"&amp;DATE(2020,6,31),'DATA INPUT'!$F$3:$F$3000,"&lt;&gt;*Exclude*")),#N/A))</f>
        <v>#N/A</v>
      </c>
      <c r="AT44" s="117" t="e">
        <f>IF($L$2="Yes",IFERROR((SUMIFS('DATA INPUT'!$E$3:$E$3000,'DATA INPUT'!$B$3:$B$3000,'Report Tables'!AT$1,'DATA INPUT'!$A$3:$A$3000,"&gt;="&amp;DATE(2020,6,1),'DATA INPUT'!$A$3:$A$3000,"&lt;"&amp;DATE(2020,6,31)))/COUNTIFS('DATA INPUT'!$B$3:$B$3000,'Report Tables'!AT$1,'DATA INPUT'!$A$3:$A$3000,"&gt;="&amp;DATE(2020,6,1),'DATA INPUT'!$A$3:$A$3000,"&lt;"&amp;DATE(2020,6,31)),#N/A),IFERROR((SUMIFS('DATA INPUT'!$E$3:$E$3000,'DATA INPUT'!$B$3:$B$3000,'Report Tables'!AT$1,'DATA INPUT'!$A$3:$A$3000,"&gt;="&amp;DATE(2020,6,1),'DATA INPUT'!$A$3:$A$3000,"&lt;"&amp;DATE(2020,6,31),'DATA INPUT'!$F$3:$F$3000,"&lt;&gt;*Exclude*"))/(COUNTIFS('DATA INPUT'!$B$3:$B$3000,'Report Tables'!AT$1,'DATA INPUT'!$A$3:$A$3000,"&gt;="&amp;DATE(2020,6,1),'DATA INPUT'!$A$3:$A$3000,"&lt;"&amp;DATE(2020,6,31),'DATA INPUT'!$F$3:$F$3000,"&lt;&gt;*Exclude*")),#N/A))</f>
        <v>#N/A</v>
      </c>
      <c r="AU44" s="117" t="e">
        <f t="shared" si="1"/>
        <v>#N/A</v>
      </c>
      <c r="AV44" s="117" t="e">
        <f>IF($L$2="Yes",IFERROR((SUMIFS('DATA INPUT'!$D$3:$D$3000,'DATA INPUT'!$A$3:$A$3000,"&gt;="&amp;DATE(2020,6,1),'DATA INPUT'!$A$3:$A$3000,"&lt;"&amp;DATE(2020,6,31),'DATA INPUT'!$G$3:$G$3000,"&lt;&gt;*School service*"))/COUNTIFS('DATA INPUT'!$A$3:$A$3000,"&gt;="&amp;DATE(2020,6,1),'DATA INPUT'!$A$3:$A$3000,"&lt;"&amp;DATE(2020,6,31),'DATA INPUT'!$G$3:$G$3000,"&lt;&gt;*School service*",'DATA INPUT'!$D$3:$D$3000,"&lt;&gt;"&amp;""),#N/A),IFERROR((SUMIFS('DATA INPUT'!$D$3:$D$3000,'DATA INPUT'!$A$3:$A$3000,"&gt;="&amp;DATE(2020,6,1),'DATA INPUT'!$A$3:$A$3000,"&lt;"&amp;DATE(2020,6,31),'DATA INPUT'!$F$3:$F$3000,"&lt;&gt;*Exclude*",'DATA INPUT'!$G$3:$G$3000,"&lt;&gt;*School service*"))/(COUNTIFS('DATA INPUT'!$A$3:$A$3000,"&gt;="&amp;DATE(2020,6,1),'DATA INPUT'!$A$3:$A$3000,"&lt;"&amp;DATE(2020,6,31),'DATA INPUT'!$F$3:$F$3000,"&lt;&gt;*Exclude*",'DATA INPUT'!$G$3:$G$3000,"&lt;&gt;*School service*",'DATA INPUT'!$D$3:$D$3000,"&lt;&gt;"&amp;"")),#N/A))</f>
        <v>#N/A</v>
      </c>
      <c r="AW44" s="117" t="e">
        <f t="shared" si="2"/>
        <v>#N/A</v>
      </c>
      <c r="AX44" s="117" t="e">
        <f>IF($L$2="Yes",IFERROR((SUMIFS('DATA INPUT'!$E$3:$E$3000,'DATA INPUT'!$B$3:$B$3000,'Report Tables'!AX$1,'DATA INPUT'!$A$3:$A$3000,"&gt;="&amp;DATE(2020,6,1),'DATA INPUT'!$A$3:$A$3000,"&lt;"&amp;DATE(2020,6,31)))/COUNTIFS('DATA INPUT'!$B$3:$B$3000,'Report Tables'!AX$1,'DATA INPUT'!$A$3:$A$3000,"&gt;="&amp;DATE(2020,6,1),'DATA INPUT'!$A$3:$A$3000,"&lt;"&amp;DATE(2020,6,31)),#N/A),IFERROR((SUMIFS('DATA INPUT'!$E$3:$E$3000,'DATA INPUT'!$B$3:$B$3000,'Report Tables'!AX$1,'DATA INPUT'!$A$3:$A$3000,"&gt;="&amp;DATE(2020,6,1),'DATA INPUT'!$A$3:$A$3000,"&lt;"&amp;DATE(2020,6,31),'DATA INPUT'!$F$3:$F$3000,"&lt;&gt;*Exclude*"))/(COUNTIFS('DATA INPUT'!$B$3:$B$3000,'Report Tables'!AX$1,'DATA INPUT'!$A$3:$A$3000,"&gt;="&amp;DATE(2020,6,1),'DATA INPUT'!$A$3:$A$3000,"&lt;"&amp;DATE(2020,6,31),'DATA INPUT'!$F$3:$F$3000,"&lt;&gt;*Exclude*")),#N/A))</f>
        <v>#N/A</v>
      </c>
      <c r="AY44" s="117" t="e">
        <f>IF($L$2="Yes",IFERROR((SUMIFS('DATA INPUT'!$D$3:$D$3000,'DATA INPUT'!$B$3:$B$3000,'Report Tables'!AX$1,'DATA INPUT'!$A$3:$A$3000,"&gt;="&amp;DATE(2020,6,1),'DATA INPUT'!$A$3:$A$3000,"&lt;"&amp;DATE(2020,6,31)))/COUNTIFS('DATA INPUT'!$B$3:$B$3000,'Report Tables'!AX$1,'DATA INPUT'!$A$3:$A$3000,"&gt;="&amp;DATE(2020,6,1),'DATA INPUT'!$A$3:$A$3000,"&lt;"&amp;DATE(2020,6,31)),#N/A),IFERROR((SUMIFS('DATA INPUT'!$D$3:$D$3000,'DATA INPUT'!$B$3:$B$3000,'Report Tables'!AX$1,'DATA INPUT'!$A$3:$A$3000,"&gt;="&amp;DATE(2020,6,1),'DATA INPUT'!$A$3:$A$3000,"&lt;"&amp;DATE(2020,6,31),'DATA INPUT'!$F$3:$F$3000,"&lt;&gt;*Exclude*"))/(COUNTIFS('DATA INPUT'!$B$3:$B$3000,'Report Tables'!AX$1,'DATA INPUT'!$A$3:$A$3000,"&gt;="&amp;DATE(2020,6,1),'DATA INPUT'!$A$3:$A$3000,"&lt;"&amp;DATE(2020,6,31),'DATA INPUT'!$F$3:$F$3000,"&lt;&gt;*Exclude*")),#N/A))</f>
        <v>#N/A</v>
      </c>
      <c r="AZ44" s="117" t="e">
        <f>IF($L$2="Yes",IFERROR((SUMIFS('DATA INPUT'!$C$3:$C$3000,'DATA INPUT'!$B$3:$B$3000,'Report Tables'!AX$1,'DATA INPUT'!$A$3:$A$3000,"&gt;="&amp;DATE(2020,6,1),'DATA INPUT'!$A$3:$A$3000,"&lt;"&amp;DATE(2020,6,31)))/COUNTIFS('DATA INPUT'!$B$3:$B$3000,'Report Tables'!AX$1,'DATA INPUT'!$A$3:$A$3000,"&gt;="&amp;DATE(2020,6,1),'DATA INPUT'!$A$3:$A$3000,"&lt;"&amp;DATE(2020,6,31)),#N/A),IFERROR((SUMIFS('DATA INPUT'!$C$3:$C$3000,'DATA INPUT'!$B$3:$B$3000,'Report Tables'!AX$1,'DATA INPUT'!$A$3:$A$3000,"&gt;="&amp;DATE(2020,6,1),'DATA INPUT'!$A$3:$A$3000,"&lt;"&amp;DATE(2020,6,31),'DATA INPUT'!$F$3:$F$3000,"&lt;&gt;*Exclude*"))/(COUNTIFS('DATA INPUT'!$B$3:$B$3000,'Report Tables'!AX$1,'DATA INPUT'!$A$3:$A$3000,"&gt;="&amp;DATE(2020,6,1),'DATA INPUT'!$A$3:$A$3000,"&lt;"&amp;DATE(2020,6,31),'DATA INPUT'!$F$3:$F$3000,"&lt;&gt;*Exclude*")),#N/A))</f>
        <v>#N/A</v>
      </c>
    </row>
    <row r="45" spans="1:52" x14ac:dyDescent="0.3">
      <c r="A45" s="95" t="e">
        <f>VLOOKUP(B45,Information!$C$8:$F$15,4,FALSE)</f>
        <v>#N/A</v>
      </c>
      <c r="B45" s="53">
        <f>$B$9</f>
        <v>0</v>
      </c>
      <c r="C45" s="58" t="e">
        <f>IF($L$2="Yes",(SUMIFS('DATA INPUT'!$C$3:$C$3000,'DATA INPUT'!$A$3:$A$3000,"&gt;="&amp;DATE(2017,1,1),'DATA INPUT'!$A$3:$A$3000,"&lt;="&amp;DATE(2017,12,31),'DATA INPUT'!$B$3:$B$3000,$B45))/(COUNTIFS('DATA INPUT'!$A$3:$A$3000,"&gt;="&amp;DATE(2017,1,1),'DATA INPUT'!$A$3:$A$3000,"&lt;="&amp;DATE(2017,12,31),'DATA INPUT'!$B$3:$B$3000,$B45)),(SUMIFS('DATA INPUT'!$C$3:$C$3000,'DATA INPUT'!$A$3:$A$3000,"&gt;="&amp;DATE(2017,1,1),'DATA INPUT'!$A$3:$A$3000,"&lt;="&amp;DATE(2017,12,31),'DATA INPUT'!$B$3:$B$3000,$B45,'DATA INPUT'!$F$3:$F$3000,"&lt;&gt;*Exclude*"))/(COUNTIFS('DATA INPUT'!$A$3:$A$3000,"&gt;="&amp;DATE(2017,1,1),'DATA INPUT'!$A$3:$A$3000,"&lt;="&amp;DATE(2017,12,31),'DATA INPUT'!$B$3:$B$3000,$B45,'DATA INPUT'!$F$3:$F$3000,"&lt;&gt;*Exclude*")))</f>
        <v>#DIV/0!</v>
      </c>
      <c r="D45" s="58" t="e">
        <f>IF($L$2="Yes",(SUMIFS('DATA INPUT'!$C$3:$C$3000,'DATA INPUT'!$A$3:$A$3000,"&gt;="&amp;DATE(2018,1,1),'DATA INPUT'!$A$3:$A$3000,"&lt;="&amp;DATE(2018,12,31),'DATA INPUT'!$B$3:$B$3000,$B45))/(COUNTIFS('DATA INPUT'!$A$3:$A$3000,"&gt;="&amp;DATE(2018,1,1),'DATA INPUT'!$A$3:$A$3000,"&lt;="&amp;DATE(2018,12,31),'DATA INPUT'!$B$3:$B$3000,$B45)),(SUMIFS('DATA INPUT'!$C$3:$C$3000,'DATA INPUT'!$A$3:$A$3000,"&gt;="&amp;DATE(2018,1,1),'DATA INPUT'!$A$3:$A$3000,"&lt;="&amp;DATE(2018,12,31),'DATA INPUT'!$B$3:$B$3000,$B45,'DATA INPUT'!$F$3:$F$3000,"&lt;&gt;*Exclude*"))/(COUNTIFS('DATA INPUT'!$A$3:$A$3000,"&gt;="&amp;DATE(2018,1,1),'DATA INPUT'!$A$3:$A$3000,"&lt;="&amp;DATE(2018,12,31),'DATA INPUT'!$B$3:$B$3000,$B45,'DATA INPUT'!$F$3:$F$3000,"&lt;&gt;*Exclude*")))</f>
        <v>#DIV/0!</v>
      </c>
      <c r="E45" s="58" t="e">
        <f>IF($L$2="Yes",(SUMIFS('DATA INPUT'!$C$3:$C$3000,'DATA INPUT'!$A$3:$A$3000,"&gt;="&amp;DATE(2019,1,1),'DATA INPUT'!$A$3:$A$3000,"&lt;="&amp;DATE(2019,12,31),'DATA INPUT'!$B$3:$B$3000,$B45))/(COUNTIFS('DATA INPUT'!$A$3:$A$3000,"&gt;="&amp;DATE(2019,1,1),'DATA INPUT'!$A$3:$A$3000,"&lt;="&amp;DATE(2019,12,31),'DATA INPUT'!$B$3:$B$3000,$B45)),(SUMIFS('DATA INPUT'!$C$3:$C$3000,'DATA INPUT'!$A$3:$A$3000,"&gt;="&amp;DATE(2019,1,1),'DATA INPUT'!$A$3:$A$3000,"&lt;="&amp;DATE(2019,12,31),'DATA INPUT'!$B$3:$B$3000,$B45,'DATA INPUT'!$F$3:$F$3000,"&lt;&gt;*Exclude*"))/(COUNTIFS('DATA INPUT'!$A$3:$A$3000,"&gt;="&amp;DATE(2019,1,1),'DATA INPUT'!$A$3:$A$3000,"&lt;="&amp;DATE(2019,12,31),'DATA INPUT'!$B$3:$B$3000,$B45,'DATA INPUT'!$F$3:$F$3000,"&lt;&gt;*Exclude*")))</f>
        <v>#DIV/0!</v>
      </c>
      <c r="F45" s="58" t="e">
        <f>IF($L$2="Yes",(SUMIFS('DATA INPUT'!$C$3:$C$3000,'DATA INPUT'!$A$3:$A$3000,"&gt;="&amp;DATE(2020,1,1),'DATA INPUT'!$A$3:$A$3000,"&lt;="&amp;DATE(2020,12,31),'DATA INPUT'!$B$3:$B$3000,$B45))/(COUNTIFS('DATA INPUT'!$A$3:$A$3000,"&gt;="&amp;DATE(2020,1,1),'DATA INPUT'!$A$3:$A$3000,"&lt;="&amp;DATE(2020,12,31),'DATA INPUT'!$B$3:$B$3000,$B45)),(SUMIFS('DATA INPUT'!$C$3:$C$3000,'DATA INPUT'!$A$3:$A$3000,"&gt;="&amp;DATE(2020,1,1),'DATA INPUT'!$A$3:$A$3000,"&lt;="&amp;DATE(2020,12,31),'DATA INPUT'!$B$3:$B$3000,$B45,'DATA INPUT'!$F$3:$F$3000,"&lt;&gt;*Exclude*"))/(COUNTIFS('DATA INPUT'!$A$3:$A$3000,"&gt;="&amp;DATE(2020,1,1),'DATA INPUT'!$A$3:$A$3000,"&lt;="&amp;DATE(2020,12,31),'DATA INPUT'!$B$3:$B$3000,$B45,'DATA INPUT'!$F$3:$F$3000,"&lt;&gt;*Exclude*")))</f>
        <v>#DIV/0!</v>
      </c>
      <c r="G45" s="58" t="e">
        <f>IF($L$2="Yes",(SUMIFS('DATA INPUT'!$C$3:$C$3000,'DATA INPUT'!$A$3:$A$3000,"&gt;="&amp;DATE(2021,1,1),'DATA INPUT'!$A$3:$A$3000,"&lt;="&amp;DATE(2021,12,31),'DATA INPUT'!$B$3:$B$3000,$B45))/(COUNTIFS('DATA INPUT'!$A$3:$A$3000,"&gt;="&amp;DATE(2021,1,1),'DATA INPUT'!$A$3:$A$3000,"&lt;="&amp;DATE(2021,12,31),'DATA INPUT'!$B$3:$B$3000,$B45)),(SUMIFS('DATA INPUT'!$C$3:$C$3000,'DATA INPUT'!$A$3:$A$3000,"&gt;="&amp;DATE(2021,1,1),'DATA INPUT'!$A$3:$A$3000,"&lt;="&amp;DATE(2021,12,31),'DATA INPUT'!$B$3:$B$3000,$B45,'DATA INPUT'!$F$3:$F$3000,"&lt;&gt;*Exclude*"))/(COUNTIFS('DATA INPUT'!$A$3:$A$3000,"&gt;="&amp;DATE(2021,1,1),'DATA INPUT'!$A$3:$A$3000,"&lt;="&amp;DATE(2021,12,31),'DATA INPUT'!$B$3:$B$3000,$B45,'DATA INPUT'!$F$3:$F$3000,"&lt;&gt;*Exclude*")))</f>
        <v>#DIV/0!</v>
      </c>
      <c r="H45" s="58" t="e">
        <f>IF($L$2="Yes",(SUMIFS('DATA INPUT'!$C$3:$C$3000,'DATA INPUT'!$A$3:$A$3000,"&gt;="&amp;DATE(2022,1,1),'DATA INPUT'!$A$3:$A$3000,"&lt;="&amp;DATE(2022,12,31),'DATA INPUT'!$B$3:$B$3000,$B45))/(COUNTIFS('DATA INPUT'!$A$3:$A$3000,"&gt;="&amp;DATE(2022,1,1),'DATA INPUT'!$A$3:$A$3000,"&lt;="&amp;DATE(2022,12,31),'DATA INPUT'!$B$3:$B$3000,$B45)),(SUMIFS('DATA INPUT'!$C$3:$C$3000,'DATA INPUT'!$A$3:$A$3000,"&gt;="&amp;DATE(2022,1,1),'DATA INPUT'!$A$3:$A$3000,"&lt;="&amp;DATE(2022,12,31),'DATA INPUT'!$B$3:$B$3000,$B45,'DATA INPUT'!$F$3:$F$3000,"&lt;&gt;*Exclude*"))/(COUNTIFS('DATA INPUT'!$A$3:$A$3000,"&gt;="&amp;DATE(2022,1,1),'DATA INPUT'!$A$3:$A$3000,"&lt;="&amp;DATE(2022,12,31),'DATA INPUT'!$B$3:$B$3000,$B45,'DATA INPUT'!$F$3:$F$3000,"&lt;&gt;*Exclude*")))</f>
        <v>#DIV/0!</v>
      </c>
      <c r="I45" s="58" t="e">
        <f>IF($L$2="Yes",(SUMIFS('DATA INPUT'!$C$3:$C$3000,'DATA INPUT'!$A$3:$A$3000,"&gt;="&amp;DATE(2023,1,1),'DATA INPUT'!$A$3:$A$3000,"&lt;="&amp;DATE(2023,12,31),'DATA INPUT'!$B$3:$B$3000,$B45))/(COUNTIFS('DATA INPUT'!$A$3:$A$3000,"&gt;="&amp;DATE(2023,1,1),'DATA INPUT'!$A$3:$A$3000,"&lt;="&amp;DATE(2023,12,31),'DATA INPUT'!$B$3:$B$3000,$B45)),(SUMIFS('DATA INPUT'!$C$3:$C$3000,'DATA INPUT'!$A$3:$A$3000,"&gt;="&amp;DATE(2023,1,1),'DATA INPUT'!$A$3:$A$3000,"&lt;="&amp;DATE(2023,12,31),'DATA INPUT'!$B$3:$B$3000,$B45,'DATA INPUT'!$F$3:$F$3000,"&lt;&gt;*Exclude*"))/(COUNTIFS('DATA INPUT'!$A$3:$A$3000,"&gt;="&amp;DATE(2023,1,1),'DATA INPUT'!$A$3:$A$3000,"&lt;="&amp;DATE(2023,12,31),'DATA INPUT'!$B$3:$B$3000,$B45,'DATA INPUT'!$F$3:$F$3000,"&lt;&gt;*Exclude*")))</f>
        <v>#DIV/0!</v>
      </c>
      <c r="J45" s="58" t="e">
        <f>IF($L$2="Yes",(SUMIFS('DATA INPUT'!$C$3:$C$3000,'DATA INPUT'!$A$3:$A$3000,"&gt;="&amp;DATE(2024,1,1),'DATA INPUT'!$A$3:$A$3000,"&lt;="&amp;DATE(2024,12,31),'DATA INPUT'!$B$3:$B$3000,$B45))/(COUNTIFS('DATA INPUT'!$A$3:$A$3000,"&gt;="&amp;DATE(2024,1,1),'DATA INPUT'!$A$3:$A$3000,"&lt;="&amp;DATE(2024,12,31),'DATA INPUT'!$B$3:$B$3000,$B45)),(SUMIFS('DATA INPUT'!$C$3:$C$3000,'DATA INPUT'!$A$3:$A$3000,"&gt;="&amp;DATE(2024,1,1),'DATA INPUT'!$A$3:$A$3000,"&lt;="&amp;DATE(2024,12,31),'DATA INPUT'!$B$3:$B$3000,$B45,'DATA INPUT'!$F$3:$F$3000,"&lt;&gt;*Exclude*"))/(COUNTIFS('DATA INPUT'!$A$3:$A$3000,"&gt;="&amp;DATE(2024,1,1),'DATA INPUT'!$A$3:$A$3000,"&lt;="&amp;DATE(2024,12,31),'DATA INPUT'!$B$3:$B$3000,$B45,'DATA INPUT'!$F$3:$F$3000,"&lt;&gt;*Exclude*")))</f>
        <v>#DIV/0!</v>
      </c>
      <c r="K45" s="58" t="e">
        <f>IF($L$2="Yes",(SUMIFS('DATA INPUT'!$C$3:$C$3000,'DATA INPUT'!$A$3:$A$3000,"&gt;="&amp;DATE(2025,1,1),'DATA INPUT'!$A$3:$A$3000,"&lt;="&amp;DATE(2025,12,31),'DATA INPUT'!$B$3:$B$3000,$B45))/(COUNTIFS('DATA INPUT'!$A$3:$A$3000,"&gt;="&amp;DATE(2025,1,1),'DATA INPUT'!$A$3:$A$3000,"&lt;="&amp;DATE(2025,12,31),'DATA INPUT'!$B$3:$B$3000,$B45)),(SUMIFS('DATA INPUT'!$C$3:$C$3000,'DATA INPUT'!$A$3:$A$3000,"&gt;="&amp;DATE(2025,1,1),'DATA INPUT'!$A$3:$A$3000,"&lt;="&amp;DATE(2025,12,31),'DATA INPUT'!$B$3:$B$3000,$B45,'DATA INPUT'!$F$3:$F$3000,"&lt;&gt;*Exclude*"))/(COUNTIFS('DATA INPUT'!$A$3:$A$3000,"&gt;="&amp;DATE(2025,1,1),'DATA INPUT'!$A$3:$A$3000,"&lt;="&amp;DATE(2025,12,31),'DATA INPUT'!$B$3:$B$3000,$B45,'DATA INPUT'!$F$3:$F$3000,"&lt;&gt;*Exclude*")))</f>
        <v>#DIV/0!</v>
      </c>
      <c r="L45" s="72" t="str">
        <f t="shared" si="17"/>
        <v/>
      </c>
      <c r="Y45" s="149"/>
      <c r="Z45" s="149" t="s">
        <v>18</v>
      </c>
      <c r="AA45" s="136" t="e">
        <f>IF($L$2="Yes",IF(SUMIFS('DATA INPUT'!$E$3:$E$3000,'DATA INPUT'!$B$3:$B$3000,'Report Tables'!AA$1,'DATA INPUT'!$A$3:$A$3000,"&gt;="&amp;DATE(2020,7,1),'DATA INPUT'!$A$3:$A$3000,"&lt;"&amp;DATE(2020,7,31))=0,#N/A,(SUMIFS('DATA INPUT'!$E$3:$E$3000,'DATA INPUT'!$B$3:$B$3000,'Report Tables'!AA$1,'DATA INPUT'!$A$3:$A$3000,"&gt;="&amp;DATE(2020,7,1),'DATA INPUT'!$A$3:$A$3000,"&lt;"&amp;DATE(2020,7,31)))),IF(SUMIFS('DATA INPUT'!$E$3:$E$3000,'DATA INPUT'!$B$3:$B$3000,'Report Tables'!AA$1,'DATA INPUT'!$A$3:$A$3000,"&gt;="&amp;DATE(2020,7,1),'DATA INPUT'!$A$3:$A$3000,"&lt;"&amp;DATE(2020,7,31),'DATA INPUT'!$F$3:$F$3000,"&lt;&gt;*Exclude*")=0,#N/A,(SUMIFS('DATA INPUT'!$E$3:$E$3000,'DATA INPUT'!$B$3:$B$3000,'Report Tables'!AA$1,'DATA INPUT'!$A$3:$A$3000,"&gt;="&amp;DATE(2020,7,1),'DATA INPUT'!$A$3:$A$3000,"&lt;"&amp;DATE(2020,7,31),'DATA INPUT'!$F$3:$F$3000,"&lt;&gt;*Exclude*"))))</f>
        <v>#N/A</v>
      </c>
      <c r="AB45" s="136" t="e">
        <f>IF($L$2="Yes",IF(SUMIFS('DATA INPUT'!$E$3:$E$3000,'DATA INPUT'!$B$3:$B$3000,'Report Tables'!AB$1,'DATA INPUT'!$A$3:$A$3000,"&gt;="&amp;DATE(2020,7,1),'DATA INPUT'!$A$3:$A$3000,"&lt;"&amp;DATE(2020,7,31))=0,#N/A,(SUMIFS('DATA INPUT'!$E$3:$E$3000,'DATA INPUT'!$B$3:$B$3000,'Report Tables'!AB$1,'DATA INPUT'!$A$3:$A$3000,"&gt;="&amp;DATE(2020,7,1),'DATA INPUT'!$A$3:$A$3000,"&lt;"&amp;DATE(2020,7,31)))),IF(SUMIFS('DATA INPUT'!$E$3:$E$3000,'DATA INPUT'!$B$3:$B$3000,'Report Tables'!AB$1,'DATA INPUT'!$A$3:$A$3000,"&gt;="&amp;DATE(2020,7,1),'DATA INPUT'!$A$3:$A$3000,"&lt;"&amp;DATE(2020,7,31),'DATA INPUT'!$F$3:$F$3000,"&lt;&gt;*Exclude*")=0,#N/A,(SUMIFS('DATA INPUT'!$E$3:$E$3000,'DATA INPUT'!$B$3:$B$3000,'Report Tables'!AB$1,'DATA INPUT'!$A$3:$A$3000,"&gt;="&amp;DATE(2020,7,1),'DATA INPUT'!$A$3:$A$3000,"&lt;"&amp;DATE(2020,7,31),'DATA INPUT'!$F$3:$F$3000,"&lt;&gt;*Exclude*"))))</f>
        <v>#N/A</v>
      </c>
      <c r="AC45" s="136" t="e">
        <f>IF($L$2="Yes",IF(SUMIFS('DATA INPUT'!$E$3:$E$3000,'DATA INPUT'!$B$3:$B$3000,'Report Tables'!AC$1,'DATA INPUT'!$A$3:$A$3000,"&gt;="&amp;DATE(2020,7,1),'DATA INPUT'!$A$3:$A$3000,"&lt;"&amp;DATE(2020,7,31))=0,#N/A,(SUMIFS('DATA INPUT'!$E$3:$E$3000,'DATA INPUT'!$B$3:$B$3000,'Report Tables'!AC$1,'DATA INPUT'!$A$3:$A$3000,"&gt;="&amp;DATE(2020,7,1),'DATA INPUT'!$A$3:$A$3000,"&lt;"&amp;DATE(2020,7,31)))),IF(SUMIFS('DATA INPUT'!$E$3:$E$3000,'DATA INPUT'!$B$3:$B$3000,'Report Tables'!AC$1,'DATA INPUT'!$A$3:$A$3000,"&gt;="&amp;DATE(2020,7,1),'DATA INPUT'!$A$3:$A$3000,"&lt;"&amp;DATE(2020,7,31),'DATA INPUT'!$F$3:$F$3000,"&lt;&gt;*Exclude*")=0,#N/A,(SUMIFS('DATA INPUT'!$E$3:$E$3000,'DATA INPUT'!$B$3:$B$3000,'Report Tables'!AC$1,'DATA INPUT'!$A$3:$A$3000,"&gt;="&amp;DATE(2020,7,1),'DATA INPUT'!$A$3:$A$3000,"&lt;"&amp;DATE(2020,7,31),'DATA INPUT'!$F$3:$F$3000,"&lt;&gt;*Exclude*"))))</f>
        <v>#N/A</v>
      </c>
      <c r="AD45" s="136" t="e">
        <f>IF($L$2="Yes",IF(SUMIFS('DATA INPUT'!$E$3:$E$3000,'DATA INPUT'!$B$3:$B$3000,'Report Tables'!AD$1,'DATA INPUT'!$A$3:$A$3000,"&gt;="&amp;DATE(2020,7,1),'DATA INPUT'!$A$3:$A$3000,"&lt;"&amp;DATE(2020,7,31))=0,#N/A,(SUMIFS('DATA INPUT'!$E$3:$E$3000,'DATA INPUT'!$B$3:$B$3000,'Report Tables'!AD$1,'DATA INPUT'!$A$3:$A$3000,"&gt;="&amp;DATE(2020,7,1),'DATA INPUT'!$A$3:$A$3000,"&lt;"&amp;DATE(2020,7,31)))),IF(SUMIFS('DATA INPUT'!$E$3:$E$3000,'DATA INPUT'!$B$3:$B$3000,'Report Tables'!AD$1,'DATA INPUT'!$A$3:$A$3000,"&gt;="&amp;DATE(2020,7,1),'DATA INPUT'!$A$3:$A$3000,"&lt;"&amp;DATE(2020,7,31),'DATA INPUT'!$F$3:$F$3000,"&lt;&gt;*Exclude*")=0,#N/A,(SUMIFS('DATA INPUT'!$E$3:$E$3000,'DATA INPUT'!$B$3:$B$3000,'Report Tables'!AD$1,'DATA INPUT'!$A$3:$A$3000,"&gt;="&amp;DATE(2020,7,1),'DATA INPUT'!$A$3:$A$3000,"&lt;"&amp;DATE(2020,7,31),'DATA INPUT'!$F$3:$F$3000,"&lt;&gt;*Exclude*"))))</f>
        <v>#N/A</v>
      </c>
      <c r="AE45" s="136" t="e">
        <f>IF($L$2="Yes",IF(SUMIFS('DATA INPUT'!$E$3:$E$3000,'DATA INPUT'!$B$3:$B$3000,'Report Tables'!AE$1,'DATA INPUT'!$A$3:$A$3000,"&gt;="&amp;DATE(2020,7,1),'DATA INPUT'!$A$3:$A$3000,"&lt;"&amp;DATE(2020,7,31))=0,#N/A,(SUMIFS('DATA INPUT'!$E$3:$E$3000,'DATA INPUT'!$B$3:$B$3000,'Report Tables'!AE$1,'DATA INPUT'!$A$3:$A$3000,"&gt;="&amp;DATE(2020,7,1),'DATA INPUT'!$A$3:$A$3000,"&lt;"&amp;DATE(2020,7,31)))),IF(SUMIFS('DATA INPUT'!$E$3:$E$3000,'DATA INPUT'!$B$3:$B$3000,'Report Tables'!AE$1,'DATA INPUT'!$A$3:$A$3000,"&gt;="&amp;DATE(2020,7,1),'DATA INPUT'!$A$3:$A$3000,"&lt;"&amp;DATE(2020,7,31),'DATA INPUT'!$F$3:$F$3000,"&lt;&gt;*Exclude*")=0,#N/A,(SUMIFS('DATA INPUT'!$E$3:$E$3000,'DATA INPUT'!$B$3:$B$3000,'Report Tables'!AE$1,'DATA INPUT'!$A$3:$A$3000,"&gt;="&amp;DATE(2020,7,1),'DATA INPUT'!$A$3:$A$3000,"&lt;"&amp;DATE(2020,7,31),'DATA INPUT'!$F$3:$F$3000,"&lt;&gt;*Exclude*"))))</f>
        <v>#N/A</v>
      </c>
      <c r="AF45" s="136" t="e">
        <f>IF($L$2="Yes",IF(SUMIFS('DATA INPUT'!$E$3:$E$3000,'DATA INPUT'!$B$3:$B$3000,'Report Tables'!AF$1,'DATA INPUT'!$A$3:$A$3000,"&gt;="&amp;DATE(2020,7,1),'DATA INPUT'!$A$3:$A$3000,"&lt;"&amp;DATE(2020,7,31))=0,#N/A,(SUMIFS('DATA INPUT'!$E$3:$E$3000,'DATA INPUT'!$B$3:$B$3000,'Report Tables'!AF$1,'DATA INPUT'!$A$3:$A$3000,"&gt;="&amp;DATE(2020,7,1),'DATA INPUT'!$A$3:$A$3000,"&lt;"&amp;DATE(2020,7,31)))),IF(SUMIFS('DATA INPUT'!$E$3:$E$3000,'DATA INPUT'!$B$3:$B$3000,'Report Tables'!AF$1,'DATA INPUT'!$A$3:$A$3000,"&gt;="&amp;DATE(2020,7,1),'DATA INPUT'!$A$3:$A$3000,"&lt;"&amp;DATE(2020,7,31),'DATA INPUT'!$F$3:$F$3000,"&lt;&gt;*Exclude*")=0,#N/A,(SUMIFS('DATA INPUT'!$E$3:$E$3000,'DATA INPUT'!$B$3:$B$3000,'Report Tables'!AF$1,'DATA INPUT'!$A$3:$A$3000,"&gt;="&amp;DATE(2020,7,1),'DATA INPUT'!$A$3:$A$3000,"&lt;"&amp;DATE(2020,7,31),'DATA INPUT'!$F$3:$F$3000,"&lt;&gt;*Exclude*"))))</f>
        <v>#N/A</v>
      </c>
      <c r="AG45" s="136" t="e">
        <f>IF($L$2="Yes",IF(SUMIFS('DATA INPUT'!$E$3:$E$3000,'DATA INPUT'!$B$3:$B$3000,'Report Tables'!AG$1,'DATA INPUT'!$A$3:$A$3000,"&gt;="&amp;DATE(2020,7,1),'DATA INPUT'!$A$3:$A$3000,"&lt;"&amp;DATE(2020,7,31))=0,#N/A,(SUMIFS('DATA INPUT'!$E$3:$E$3000,'DATA INPUT'!$B$3:$B$3000,'Report Tables'!AG$1,'DATA INPUT'!$A$3:$A$3000,"&gt;="&amp;DATE(2020,7,1),'DATA INPUT'!$A$3:$A$3000,"&lt;"&amp;DATE(2020,7,31)))),IF(SUMIFS('DATA INPUT'!$E$3:$E$3000,'DATA INPUT'!$B$3:$B$3000,'Report Tables'!AG$1,'DATA INPUT'!$A$3:$A$3000,"&gt;="&amp;DATE(2020,7,1),'DATA INPUT'!$A$3:$A$3000,"&lt;"&amp;DATE(2020,7,31),'DATA INPUT'!$F$3:$F$3000,"&lt;&gt;*Exclude*")=0,#N/A,(SUMIFS('DATA INPUT'!$E$3:$E$3000,'DATA INPUT'!$B$3:$B$3000,'Report Tables'!AG$1,'DATA INPUT'!$A$3:$A$3000,"&gt;="&amp;DATE(2020,7,1),'DATA INPUT'!$A$3:$A$3000,"&lt;"&amp;DATE(2020,7,31),'DATA INPUT'!$F$3:$F$3000,"&lt;&gt;*Exclude*"))))</f>
        <v>#N/A</v>
      </c>
      <c r="AH45" s="136" t="e">
        <f>IF($L$2="Yes",IF(SUMIFS('DATA INPUT'!$E$3:$E$3000,'DATA INPUT'!$B$3:$B$3000,'Report Tables'!AH$1,'DATA INPUT'!$A$3:$A$3000,"&gt;="&amp;DATE(2020,7,1),'DATA INPUT'!$A$3:$A$3000,"&lt;"&amp;DATE(2020,7,31))=0,#N/A,(SUMIFS('DATA INPUT'!$E$3:$E$3000,'DATA INPUT'!$B$3:$B$3000,'Report Tables'!AH$1,'DATA INPUT'!$A$3:$A$3000,"&gt;="&amp;DATE(2020,7,1),'DATA INPUT'!$A$3:$A$3000,"&lt;"&amp;DATE(2020,7,31)))),IF(SUMIFS('DATA INPUT'!$E$3:$E$3000,'DATA INPUT'!$B$3:$B$3000,'Report Tables'!AH$1,'DATA INPUT'!$A$3:$A$3000,"&gt;="&amp;DATE(2020,7,1),'DATA INPUT'!$A$3:$A$3000,"&lt;"&amp;DATE(2020,7,31),'DATA INPUT'!$F$3:$F$3000,"&lt;&gt;*Exclude*")=0,#N/A,(SUMIFS('DATA INPUT'!$E$3:$E$3000,'DATA INPUT'!$B$3:$B$3000,'Report Tables'!AH$1,'DATA INPUT'!$A$3:$A$3000,"&gt;="&amp;DATE(2020,7,1),'DATA INPUT'!$A$3:$A$3000,"&lt;"&amp;DATE(2020,7,31),'DATA INPUT'!$F$3:$F$3000,"&lt;&gt;*Exclude*"))))</f>
        <v>#N/A</v>
      </c>
      <c r="AI45" s="136" t="e">
        <f t="shared" si="0"/>
        <v>#N/A</v>
      </c>
      <c r="AJ45" s="136" t="e">
        <f>IF($L$2="Yes",IF(SUMIFS('DATA INPUT'!$D$3:$D$3000,'DATA INPUT'!$A$3:$A$3000,"&gt;="&amp;DATE(2020,7,1),'DATA INPUT'!$A$3:$A$3000,"&lt;"&amp;DATE(2020,7,31),'DATA INPUT'!$G$3:$G$3000,"&lt;&gt;*School service*")=0,#N/A,(SUMIFS('DATA INPUT'!$D$3:$D$3000,'DATA INPUT'!$A$3:$A$3000,"&gt;="&amp;DATE(2020,7,1),'DATA INPUT'!$A$3:$A$3000,"&lt;"&amp;DATE(2020,7,31),'DATA INPUT'!$G$3:$G$3000,"&lt;&gt;*School service*"))),IF(SUMIFS('DATA INPUT'!$D$3:$D$3000,'DATA INPUT'!$A$3:$A$3000,"&gt;="&amp;DATE(2020,7,1),'DATA INPUT'!$A$3:$A$3000,"&lt;"&amp;DATE(2020,7,31),'DATA INPUT'!$F$3:$F$3000,"&lt;&gt;*Exclude*",'DATA INPUT'!$G$3:$G$3000,"&lt;&gt;*School service*")=0,#N/A,(SUMIFS('DATA INPUT'!$D$3:$D$3000,'DATA INPUT'!$A$3:$A$3000,"&gt;="&amp;DATE(2020,7,1),'DATA INPUT'!$A$3:$A$3000,"&lt;"&amp;DATE(2020,7,31),'DATA INPUT'!$F$3:$F$3000,"&lt;&gt;*Exclude*",'DATA INPUT'!$G$3:$G$3000,"&lt;&gt;*School service*"))))</f>
        <v>#N/A</v>
      </c>
      <c r="AK45" s="136" t="e">
        <f>AI45-AJ45</f>
        <v>#N/A</v>
      </c>
      <c r="AM45" s="117" t="e">
        <f>IF($L$2="Yes",IFERROR((SUMIFS('DATA INPUT'!$E$3:$E$3000,'DATA INPUT'!$B$3:$B$3000,'Report Tables'!AM$1,'DATA INPUT'!$A$3:$A$3000,"&gt;="&amp;DATE(2020,7,1),'DATA INPUT'!$A$3:$A$3000,"&lt;"&amp;DATE(2020,7,31)))/COUNTIFS('DATA INPUT'!$B$3:$B$3000,'Report Tables'!AM$1,'DATA INPUT'!$A$3:$A$3000,"&gt;="&amp;DATE(2020,7,1),'DATA INPUT'!$A$3:$A$3000,"&lt;"&amp;DATE(2020,7,31)),#N/A),IFERROR((SUMIFS('DATA INPUT'!$E$3:$E$3000,'DATA INPUT'!$B$3:$B$3000,'Report Tables'!AM$1,'DATA INPUT'!$A$3:$A$3000,"&gt;="&amp;DATE(2020,7,1),'DATA INPUT'!$A$3:$A$3000,"&lt;"&amp;DATE(2020,7,31),'DATA INPUT'!$F$3:$F$3000,"&lt;&gt;*Exclude*"))/(COUNTIFS('DATA INPUT'!$B$3:$B$3000,'Report Tables'!AM$1,'DATA INPUT'!$A$3:$A$3000,"&gt;="&amp;DATE(2020,7,1),'DATA INPUT'!$A$3:$A$3000,"&lt;"&amp;DATE(2020,7,31),'DATA INPUT'!$F$3:$F$3000,"&lt;&gt;*Exclude*")),#N/A))</f>
        <v>#N/A</v>
      </c>
      <c r="AN45" s="117" t="e">
        <f>IF($L$2="Yes",IFERROR((SUMIFS('DATA INPUT'!$E$3:$E$3000,'DATA INPUT'!$B$3:$B$3000,'Report Tables'!AN$1,'DATA INPUT'!$A$3:$A$3000,"&gt;="&amp;DATE(2020,7,1),'DATA INPUT'!$A$3:$A$3000,"&lt;"&amp;DATE(2020,7,31)))/COUNTIFS('DATA INPUT'!$B$3:$B$3000,'Report Tables'!AN$1,'DATA INPUT'!$A$3:$A$3000,"&gt;="&amp;DATE(2020,7,1),'DATA INPUT'!$A$3:$A$3000,"&lt;"&amp;DATE(2020,7,31)),#N/A),IFERROR((SUMIFS('DATA INPUT'!$E$3:$E$3000,'DATA INPUT'!$B$3:$B$3000,'Report Tables'!AN$1,'DATA INPUT'!$A$3:$A$3000,"&gt;="&amp;DATE(2020,7,1),'DATA INPUT'!$A$3:$A$3000,"&lt;"&amp;DATE(2020,7,31),'DATA INPUT'!$F$3:$F$3000,"&lt;&gt;*Exclude*"))/(COUNTIFS('DATA INPUT'!$B$3:$B$3000,'Report Tables'!AN$1,'DATA INPUT'!$A$3:$A$3000,"&gt;="&amp;DATE(2020,7,1),'DATA INPUT'!$A$3:$A$3000,"&lt;"&amp;DATE(2020,7,31),'DATA INPUT'!$F$3:$F$3000,"&lt;&gt;*Exclude*")),#N/A))</f>
        <v>#N/A</v>
      </c>
      <c r="AO45" s="117" t="e">
        <f>IF($L$2="Yes",IFERROR((SUMIFS('DATA INPUT'!$E$3:$E$3000,'DATA INPUT'!$B$3:$B$3000,'Report Tables'!AO$1,'DATA INPUT'!$A$3:$A$3000,"&gt;="&amp;DATE(2020,7,1),'DATA INPUT'!$A$3:$A$3000,"&lt;"&amp;DATE(2020,7,31)))/COUNTIFS('DATA INPUT'!$B$3:$B$3000,'Report Tables'!AO$1,'DATA INPUT'!$A$3:$A$3000,"&gt;="&amp;DATE(2020,7,1),'DATA INPUT'!$A$3:$A$3000,"&lt;"&amp;DATE(2020,7,31)),#N/A),IFERROR((SUMIFS('DATA INPUT'!$E$3:$E$3000,'DATA INPUT'!$B$3:$B$3000,'Report Tables'!AO$1,'DATA INPUT'!$A$3:$A$3000,"&gt;="&amp;DATE(2020,7,1),'DATA INPUT'!$A$3:$A$3000,"&lt;"&amp;DATE(2020,7,31),'DATA INPUT'!$F$3:$F$3000,"&lt;&gt;*Exclude*"))/(COUNTIFS('DATA INPUT'!$B$3:$B$3000,'Report Tables'!AO$1,'DATA INPUT'!$A$3:$A$3000,"&gt;="&amp;DATE(2020,7,1),'DATA INPUT'!$A$3:$A$3000,"&lt;"&amp;DATE(2020,7,31),'DATA INPUT'!$F$3:$F$3000,"&lt;&gt;*Exclude*")),#N/A))</f>
        <v>#N/A</v>
      </c>
      <c r="AP45" s="117" t="e">
        <f>IF($L$2="Yes",IFERROR((SUMIFS('DATA INPUT'!$E$3:$E$3000,'DATA INPUT'!$B$3:$B$3000,'Report Tables'!AP$1,'DATA INPUT'!$A$3:$A$3000,"&gt;="&amp;DATE(2020,7,1),'DATA INPUT'!$A$3:$A$3000,"&lt;"&amp;DATE(2020,7,31)))/COUNTIFS('DATA INPUT'!$B$3:$B$3000,'Report Tables'!AP$1,'DATA INPUT'!$A$3:$A$3000,"&gt;="&amp;DATE(2020,7,1),'DATA INPUT'!$A$3:$A$3000,"&lt;"&amp;DATE(2020,7,31)),#N/A),IFERROR((SUMIFS('DATA INPUT'!$E$3:$E$3000,'DATA INPUT'!$B$3:$B$3000,'Report Tables'!AP$1,'DATA INPUT'!$A$3:$A$3000,"&gt;="&amp;DATE(2020,7,1),'DATA INPUT'!$A$3:$A$3000,"&lt;"&amp;DATE(2020,7,31),'DATA INPUT'!$F$3:$F$3000,"&lt;&gt;*Exclude*"))/(COUNTIFS('DATA INPUT'!$B$3:$B$3000,'Report Tables'!AP$1,'DATA INPUT'!$A$3:$A$3000,"&gt;="&amp;DATE(2020,7,1),'DATA INPUT'!$A$3:$A$3000,"&lt;"&amp;DATE(2020,7,31),'DATA INPUT'!$F$3:$F$3000,"&lt;&gt;*Exclude*")),#N/A))</f>
        <v>#N/A</v>
      </c>
      <c r="AQ45" s="117" t="e">
        <f>IF($L$2="Yes",IFERROR((SUMIFS('DATA INPUT'!$E$3:$E$3000,'DATA INPUT'!$B$3:$B$3000,'Report Tables'!AQ$1,'DATA INPUT'!$A$3:$A$3000,"&gt;="&amp;DATE(2020,7,1),'DATA INPUT'!$A$3:$A$3000,"&lt;"&amp;DATE(2020,7,31)))/COUNTIFS('DATA INPUT'!$B$3:$B$3000,'Report Tables'!AQ$1,'DATA INPUT'!$A$3:$A$3000,"&gt;="&amp;DATE(2020,7,1),'DATA INPUT'!$A$3:$A$3000,"&lt;"&amp;DATE(2020,7,31)),#N/A),IFERROR((SUMIFS('DATA INPUT'!$E$3:$E$3000,'DATA INPUT'!$B$3:$B$3000,'Report Tables'!AQ$1,'DATA INPUT'!$A$3:$A$3000,"&gt;="&amp;DATE(2020,7,1),'DATA INPUT'!$A$3:$A$3000,"&lt;"&amp;DATE(2020,7,31),'DATA INPUT'!$F$3:$F$3000,"&lt;&gt;*Exclude*"))/(COUNTIFS('DATA INPUT'!$B$3:$B$3000,'Report Tables'!AQ$1,'DATA INPUT'!$A$3:$A$3000,"&gt;="&amp;DATE(2020,7,1),'DATA INPUT'!$A$3:$A$3000,"&lt;"&amp;DATE(2020,7,31),'DATA INPUT'!$F$3:$F$3000,"&lt;&gt;*Exclude*")),#N/A))</f>
        <v>#N/A</v>
      </c>
      <c r="AR45" s="117" t="e">
        <f>IF($L$2="Yes",IFERROR((SUMIFS('DATA INPUT'!$E$3:$E$3000,'DATA INPUT'!$B$3:$B$3000,'Report Tables'!AR$1,'DATA INPUT'!$A$3:$A$3000,"&gt;="&amp;DATE(2020,7,1),'DATA INPUT'!$A$3:$A$3000,"&lt;"&amp;DATE(2020,7,31)))/COUNTIFS('DATA INPUT'!$B$3:$B$3000,'Report Tables'!AR$1,'DATA INPUT'!$A$3:$A$3000,"&gt;="&amp;DATE(2020,7,1),'DATA INPUT'!$A$3:$A$3000,"&lt;"&amp;DATE(2020,7,31)),#N/A),IFERROR((SUMIFS('DATA INPUT'!$E$3:$E$3000,'DATA INPUT'!$B$3:$B$3000,'Report Tables'!AR$1,'DATA INPUT'!$A$3:$A$3000,"&gt;="&amp;DATE(2020,7,1),'DATA INPUT'!$A$3:$A$3000,"&lt;"&amp;DATE(2020,7,31),'DATA INPUT'!$F$3:$F$3000,"&lt;&gt;*Exclude*"))/(COUNTIFS('DATA INPUT'!$B$3:$B$3000,'Report Tables'!AR$1,'DATA INPUT'!$A$3:$A$3000,"&gt;="&amp;DATE(2020,7,1),'DATA INPUT'!$A$3:$A$3000,"&lt;"&amp;DATE(2020,7,31),'DATA INPUT'!$F$3:$F$3000,"&lt;&gt;*Exclude*")),#N/A))</f>
        <v>#N/A</v>
      </c>
      <c r="AS45" s="117" t="e">
        <f>IF($L$2="Yes",IFERROR((SUMIFS('DATA INPUT'!$E$3:$E$3000,'DATA INPUT'!$B$3:$B$3000,'Report Tables'!AS$1,'DATA INPUT'!$A$3:$A$3000,"&gt;="&amp;DATE(2020,7,1),'DATA INPUT'!$A$3:$A$3000,"&lt;"&amp;DATE(2020,7,31)))/COUNTIFS('DATA INPUT'!$B$3:$B$3000,'Report Tables'!AS$1,'DATA INPUT'!$A$3:$A$3000,"&gt;="&amp;DATE(2020,7,1),'DATA INPUT'!$A$3:$A$3000,"&lt;"&amp;DATE(2020,7,31)),#N/A),IFERROR((SUMIFS('DATA INPUT'!$E$3:$E$3000,'DATA INPUT'!$B$3:$B$3000,'Report Tables'!AS$1,'DATA INPUT'!$A$3:$A$3000,"&gt;="&amp;DATE(2020,7,1),'DATA INPUT'!$A$3:$A$3000,"&lt;"&amp;DATE(2020,7,31),'DATA INPUT'!$F$3:$F$3000,"&lt;&gt;*Exclude*"))/(COUNTIFS('DATA INPUT'!$B$3:$B$3000,'Report Tables'!AS$1,'DATA INPUT'!$A$3:$A$3000,"&gt;="&amp;DATE(2020,7,1),'DATA INPUT'!$A$3:$A$3000,"&lt;"&amp;DATE(2020,7,31),'DATA INPUT'!$F$3:$F$3000,"&lt;&gt;*Exclude*")),#N/A))</f>
        <v>#N/A</v>
      </c>
      <c r="AT45" s="117" t="e">
        <f>IF($L$2="Yes",IFERROR((SUMIFS('DATA INPUT'!$E$3:$E$3000,'DATA INPUT'!$B$3:$B$3000,'Report Tables'!AT$1,'DATA INPUT'!$A$3:$A$3000,"&gt;="&amp;DATE(2020,7,1),'DATA INPUT'!$A$3:$A$3000,"&lt;"&amp;DATE(2020,7,31)))/COUNTIFS('DATA INPUT'!$B$3:$B$3000,'Report Tables'!AT$1,'DATA INPUT'!$A$3:$A$3000,"&gt;="&amp;DATE(2020,7,1),'DATA INPUT'!$A$3:$A$3000,"&lt;"&amp;DATE(2020,7,31)),#N/A),IFERROR((SUMIFS('DATA INPUT'!$E$3:$E$3000,'DATA INPUT'!$B$3:$B$3000,'Report Tables'!AT$1,'DATA INPUT'!$A$3:$A$3000,"&gt;="&amp;DATE(2020,7,1),'DATA INPUT'!$A$3:$A$3000,"&lt;"&amp;DATE(2020,7,31),'DATA INPUT'!$F$3:$F$3000,"&lt;&gt;*Exclude*"))/(COUNTIFS('DATA INPUT'!$B$3:$B$3000,'Report Tables'!AT$1,'DATA INPUT'!$A$3:$A$3000,"&gt;="&amp;DATE(2020,7,1),'DATA INPUT'!$A$3:$A$3000,"&lt;"&amp;DATE(2020,7,31),'DATA INPUT'!$F$3:$F$3000,"&lt;&gt;*Exclude*")),#N/A))</f>
        <v>#N/A</v>
      </c>
      <c r="AU45" s="117" t="e">
        <f t="shared" si="1"/>
        <v>#N/A</v>
      </c>
      <c r="AV45" s="117" t="e">
        <f>IF($L$2="Yes",IFERROR((SUMIFS('DATA INPUT'!$D$3:$D$3000,'DATA INPUT'!$A$3:$A$3000,"&gt;="&amp;DATE(2020,7,1),'DATA INPUT'!$A$3:$A$3000,"&lt;"&amp;DATE(2020,7,31),'DATA INPUT'!$G$3:$G$3000,"&lt;&gt;*School service*"))/COUNTIFS('DATA INPUT'!$A$3:$A$3000,"&gt;="&amp;DATE(2020,7,1),'DATA INPUT'!$A$3:$A$3000,"&lt;"&amp;DATE(2020,7,31),'DATA INPUT'!$G$3:$G$3000,"&lt;&gt;*School service*",'DATA INPUT'!$D$3:$D$3000,"&lt;&gt;"&amp;""),#N/A),IFERROR((SUMIFS('DATA INPUT'!$D$3:$D$3000,'DATA INPUT'!$A$3:$A$3000,"&gt;="&amp;DATE(2020,7,1),'DATA INPUT'!$A$3:$A$3000,"&lt;"&amp;DATE(2020,7,31),'DATA INPUT'!$F$3:$F$3000,"&lt;&gt;*Exclude*",'DATA INPUT'!$G$3:$G$3000,"&lt;&gt;*School service*"))/(COUNTIFS('DATA INPUT'!$A$3:$A$3000,"&gt;="&amp;DATE(2020,7,1),'DATA INPUT'!$A$3:$A$3000,"&lt;"&amp;DATE(2020,7,31),'DATA INPUT'!$F$3:$F$3000,"&lt;&gt;*Exclude*",'DATA INPUT'!$G$3:$G$3000,"&lt;&gt;*School service*",'DATA INPUT'!$D$3:$D$3000,"&lt;&gt;"&amp;"")),#N/A))</f>
        <v>#N/A</v>
      </c>
      <c r="AW45" s="117" t="e">
        <f t="shared" si="2"/>
        <v>#N/A</v>
      </c>
      <c r="AX45" s="117" t="e">
        <f>IF($L$2="Yes",IFERROR((SUMIFS('DATA INPUT'!$E$3:$E$3000,'DATA INPUT'!$B$3:$B$3000,'Report Tables'!AX$1,'DATA INPUT'!$A$3:$A$3000,"&gt;="&amp;DATE(2020,7,1),'DATA INPUT'!$A$3:$A$3000,"&lt;"&amp;DATE(2020,7,31)))/COUNTIFS('DATA INPUT'!$B$3:$B$3000,'Report Tables'!AX$1,'DATA INPUT'!$A$3:$A$3000,"&gt;="&amp;DATE(2020,7,1),'DATA INPUT'!$A$3:$A$3000,"&lt;"&amp;DATE(2020,7,31)),#N/A),IFERROR((SUMIFS('DATA INPUT'!$E$3:$E$3000,'DATA INPUT'!$B$3:$B$3000,'Report Tables'!AX$1,'DATA INPUT'!$A$3:$A$3000,"&gt;="&amp;DATE(2020,7,1),'DATA INPUT'!$A$3:$A$3000,"&lt;"&amp;DATE(2020,7,31),'DATA INPUT'!$F$3:$F$3000,"&lt;&gt;*Exclude*"))/(COUNTIFS('DATA INPUT'!$B$3:$B$3000,'Report Tables'!AX$1,'DATA INPUT'!$A$3:$A$3000,"&gt;="&amp;DATE(2020,7,1),'DATA INPUT'!$A$3:$A$3000,"&lt;"&amp;DATE(2020,7,31),'DATA INPUT'!$F$3:$F$3000,"&lt;&gt;*Exclude*")),#N/A))</f>
        <v>#N/A</v>
      </c>
      <c r="AY45" s="117" t="e">
        <f>IF($L$2="Yes",IFERROR((SUMIFS('DATA INPUT'!$D$3:$D$3000,'DATA INPUT'!$B$3:$B$3000,'Report Tables'!AX$1,'DATA INPUT'!$A$3:$A$3000,"&gt;="&amp;DATE(2020,7,1),'DATA INPUT'!$A$3:$A$3000,"&lt;"&amp;DATE(2020,7,31)))/COUNTIFS('DATA INPUT'!$B$3:$B$3000,'Report Tables'!AX$1,'DATA INPUT'!$A$3:$A$3000,"&gt;="&amp;DATE(2020,7,1),'DATA INPUT'!$A$3:$A$3000,"&lt;"&amp;DATE(2020,7,31)),#N/A),IFERROR((SUMIFS('DATA INPUT'!$D$3:$D$3000,'DATA INPUT'!$B$3:$B$3000,'Report Tables'!AX$1,'DATA INPUT'!$A$3:$A$3000,"&gt;="&amp;DATE(2020,7,1),'DATA INPUT'!$A$3:$A$3000,"&lt;"&amp;DATE(2020,7,31),'DATA INPUT'!$F$3:$F$3000,"&lt;&gt;*Exclude*"))/(COUNTIFS('DATA INPUT'!$B$3:$B$3000,'Report Tables'!AX$1,'DATA INPUT'!$A$3:$A$3000,"&gt;="&amp;DATE(2020,7,1),'DATA INPUT'!$A$3:$A$3000,"&lt;"&amp;DATE(2020,7,31),'DATA INPUT'!$F$3:$F$3000,"&lt;&gt;*Exclude*")),#N/A))</f>
        <v>#N/A</v>
      </c>
      <c r="AZ45" s="117" t="e">
        <f>IF($L$2="Yes",IFERROR((SUMIFS('DATA INPUT'!$C$3:$C$3000,'DATA INPUT'!$B$3:$B$3000,'Report Tables'!AX$1,'DATA INPUT'!$A$3:$A$3000,"&gt;="&amp;DATE(2020,7,1),'DATA INPUT'!$A$3:$A$3000,"&lt;"&amp;DATE(2020,7,31)))/COUNTIFS('DATA INPUT'!$B$3:$B$3000,'Report Tables'!AX$1,'DATA INPUT'!$A$3:$A$3000,"&gt;="&amp;DATE(2020,7,1),'DATA INPUT'!$A$3:$A$3000,"&lt;"&amp;DATE(2020,7,31)),#N/A),IFERROR((SUMIFS('DATA INPUT'!$C$3:$C$3000,'DATA INPUT'!$B$3:$B$3000,'Report Tables'!AX$1,'DATA INPUT'!$A$3:$A$3000,"&gt;="&amp;DATE(2020,7,1),'DATA INPUT'!$A$3:$A$3000,"&lt;"&amp;DATE(2020,7,31),'DATA INPUT'!$F$3:$F$3000,"&lt;&gt;*Exclude*"))/(COUNTIFS('DATA INPUT'!$B$3:$B$3000,'Report Tables'!AX$1,'DATA INPUT'!$A$3:$A$3000,"&gt;="&amp;DATE(2020,7,1),'DATA INPUT'!$A$3:$A$3000,"&lt;"&amp;DATE(2020,7,31),'DATA INPUT'!$F$3:$F$3000,"&lt;&gt;*Exclude*")),#N/A))</f>
        <v>#N/A</v>
      </c>
    </row>
    <row r="46" spans="1:52" x14ac:dyDescent="0.3">
      <c r="A46" s="95" t="e">
        <f>VLOOKUP(B46,Information!$C$8:$F$15,4,FALSE)</f>
        <v>#N/A</v>
      </c>
      <c r="B46" s="53">
        <f>$B$10</f>
        <v>0</v>
      </c>
      <c r="C46" s="58" t="e">
        <f>IF($L$2="Yes",(SUMIFS('DATA INPUT'!$C$3:$C$3000,'DATA INPUT'!$A$3:$A$3000,"&gt;="&amp;DATE(2017,1,1),'DATA INPUT'!$A$3:$A$3000,"&lt;="&amp;DATE(2017,12,31),'DATA INPUT'!$B$3:$B$3000,$B46))/(COUNTIFS('DATA INPUT'!$A$3:$A$3000,"&gt;="&amp;DATE(2017,1,1),'DATA INPUT'!$A$3:$A$3000,"&lt;="&amp;DATE(2017,12,31),'DATA INPUT'!$B$3:$B$3000,$B46)),(SUMIFS('DATA INPUT'!$C$3:$C$3000,'DATA INPUT'!$A$3:$A$3000,"&gt;="&amp;DATE(2017,1,1),'DATA INPUT'!$A$3:$A$3000,"&lt;="&amp;DATE(2017,12,31),'DATA INPUT'!$B$3:$B$3000,$B46,'DATA INPUT'!$F$3:$F$3000,"&lt;&gt;*Exclude*"))/(COUNTIFS('DATA INPUT'!$A$3:$A$3000,"&gt;="&amp;DATE(2017,1,1),'DATA INPUT'!$A$3:$A$3000,"&lt;="&amp;DATE(2017,12,31),'DATA INPUT'!$B$3:$B$3000,$B46,'DATA INPUT'!$F$3:$F$3000,"&lt;&gt;*Exclude*")))</f>
        <v>#DIV/0!</v>
      </c>
      <c r="D46" s="58" t="e">
        <f>IF($L$2="Yes",(SUMIFS('DATA INPUT'!$C$3:$C$3000,'DATA INPUT'!$A$3:$A$3000,"&gt;="&amp;DATE(2018,1,1),'DATA INPUT'!$A$3:$A$3000,"&lt;="&amp;DATE(2018,12,31),'DATA INPUT'!$B$3:$B$3000,$B46))/(COUNTIFS('DATA INPUT'!$A$3:$A$3000,"&gt;="&amp;DATE(2018,1,1),'DATA INPUT'!$A$3:$A$3000,"&lt;="&amp;DATE(2018,12,31),'DATA INPUT'!$B$3:$B$3000,$B46)),(SUMIFS('DATA INPUT'!$C$3:$C$3000,'DATA INPUT'!$A$3:$A$3000,"&gt;="&amp;DATE(2018,1,1),'DATA INPUT'!$A$3:$A$3000,"&lt;="&amp;DATE(2018,12,31),'DATA INPUT'!$B$3:$B$3000,$B46,'DATA INPUT'!$F$3:$F$3000,"&lt;&gt;*Exclude*"))/(COUNTIFS('DATA INPUT'!$A$3:$A$3000,"&gt;="&amp;DATE(2018,1,1),'DATA INPUT'!$A$3:$A$3000,"&lt;="&amp;DATE(2018,12,31),'DATA INPUT'!$B$3:$B$3000,$B46,'DATA INPUT'!$F$3:$F$3000,"&lt;&gt;*Exclude*")))</f>
        <v>#DIV/0!</v>
      </c>
      <c r="E46" s="58" t="e">
        <f>IF($L$2="Yes",(SUMIFS('DATA INPUT'!$C$3:$C$3000,'DATA INPUT'!$A$3:$A$3000,"&gt;="&amp;DATE(2019,1,1),'DATA INPUT'!$A$3:$A$3000,"&lt;="&amp;DATE(2019,12,31),'DATA INPUT'!$B$3:$B$3000,$B46))/(COUNTIFS('DATA INPUT'!$A$3:$A$3000,"&gt;="&amp;DATE(2019,1,1),'DATA INPUT'!$A$3:$A$3000,"&lt;="&amp;DATE(2019,12,31),'DATA INPUT'!$B$3:$B$3000,$B46)),(SUMIFS('DATA INPUT'!$C$3:$C$3000,'DATA INPUT'!$A$3:$A$3000,"&gt;="&amp;DATE(2019,1,1),'DATA INPUT'!$A$3:$A$3000,"&lt;="&amp;DATE(2019,12,31),'DATA INPUT'!$B$3:$B$3000,$B46,'DATA INPUT'!$F$3:$F$3000,"&lt;&gt;*Exclude*"))/(COUNTIFS('DATA INPUT'!$A$3:$A$3000,"&gt;="&amp;DATE(2019,1,1),'DATA INPUT'!$A$3:$A$3000,"&lt;="&amp;DATE(2019,12,31),'DATA INPUT'!$B$3:$B$3000,$B46,'DATA INPUT'!$F$3:$F$3000,"&lt;&gt;*Exclude*")))</f>
        <v>#DIV/0!</v>
      </c>
      <c r="F46" s="58" t="e">
        <f>IF($L$2="Yes",(SUMIFS('DATA INPUT'!$C$3:$C$3000,'DATA INPUT'!$A$3:$A$3000,"&gt;="&amp;DATE(2020,1,1),'DATA INPUT'!$A$3:$A$3000,"&lt;="&amp;DATE(2020,12,31),'DATA INPUT'!$B$3:$B$3000,$B46))/(COUNTIFS('DATA INPUT'!$A$3:$A$3000,"&gt;="&amp;DATE(2020,1,1),'DATA INPUT'!$A$3:$A$3000,"&lt;="&amp;DATE(2020,12,31),'DATA INPUT'!$B$3:$B$3000,$B46)),(SUMIFS('DATA INPUT'!$C$3:$C$3000,'DATA INPUT'!$A$3:$A$3000,"&gt;="&amp;DATE(2020,1,1),'DATA INPUT'!$A$3:$A$3000,"&lt;="&amp;DATE(2020,12,31),'DATA INPUT'!$B$3:$B$3000,$B46,'DATA INPUT'!$F$3:$F$3000,"&lt;&gt;*Exclude*"))/(COUNTIFS('DATA INPUT'!$A$3:$A$3000,"&gt;="&amp;DATE(2020,1,1),'DATA INPUT'!$A$3:$A$3000,"&lt;="&amp;DATE(2020,12,31),'DATA INPUT'!$B$3:$B$3000,$B46,'DATA INPUT'!$F$3:$F$3000,"&lt;&gt;*Exclude*")))</f>
        <v>#DIV/0!</v>
      </c>
      <c r="G46" s="58" t="e">
        <f>IF($L$2="Yes",(SUMIFS('DATA INPUT'!$C$3:$C$3000,'DATA INPUT'!$A$3:$A$3000,"&gt;="&amp;DATE(2021,1,1),'DATA INPUT'!$A$3:$A$3000,"&lt;="&amp;DATE(2021,12,31),'DATA INPUT'!$B$3:$B$3000,$B46))/(COUNTIFS('DATA INPUT'!$A$3:$A$3000,"&gt;="&amp;DATE(2021,1,1),'DATA INPUT'!$A$3:$A$3000,"&lt;="&amp;DATE(2021,12,31),'DATA INPUT'!$B$3:$B$3000,$B46)),(SUMIFS('DATA INPUT'!$C$3:$C$3000,'DATA INPUT'!$A$3:$A$3000,"&gt;="&amp;DATE(2021,1,1),'DATA INPUT'!$A$3:$A$3000,"&lt;="&amp;DATE(2021,12,31),'DATA INPUT'!$B$3:$B$3000,$B46,'DATA INPUT'!$F$3:$F$3000,"&lt;&gt;*Exclude*"))/(COUNTIFS('DATA INPUT'!$A$3:$A$3000,"&gt;="&amp;DATE(2021,1,1),'DATA INPUT'!$A$3:$A$3000,"&lt;="&amp;DATE(2021,12,31),'DATA INPUT'!$B$3:$B$3000,$B46,'DATA INPUT'!$F$3:$F$3000,"&lt;&gt;*Exclude*")))</f>
        <v>#DIV/0!</v>
      </c>
      <c r="H46" s="58" t="e">
        <f>IF($L$2="Yes",(SUMIFS('DATA INPUT'!$C$3:$C$3000,'DATA INPUT'!$A$3:$A$3000,"&gt;="&amp;DATE(2022,1,1),'DATA INPUT'!$A$3:$A$3000,"&lt;="&amp;DATE(2022,12,31),'DATA INPUT'!$B$3:$B$3000,$B46))/(COUNTIFS('DATA INPUT'!$A$3:$A$3000,"&gt;="&amp;DATE(2022,1,1),'DATA INPUT'!$A$3:$A$3000,"&lt;="&amp;DATE(2022,12,31),'DATA INPUT'!$B$3:$B$3000,$B46)),(SUMIFS('DATA INPUT'!$C$3:$C$3000,'DATA INPUT'!$A$3:$A$3000,"&gt;="&amp;DATE(2022,1,1),'DATA INPUT'!$A$3:$A$3000,"&lt;="&amp;DATE(2022,12,31),'DATA INPUT'!$B$3:$B$3000,$B46,'DATA INPUT'!$F$3:$F$3000,"&lt;&gt;*Exclude*"))/(COUNTIFS('DATA INPUT'!$A$3:$A$3000,"&gt;="&amp;DATE(2022,1,1),'DATA INPUT'!$A$3:$A$3000,"&lt;="&amp;DATE(2022,12,31),'DATA INPUT'!$B$3:$B$3000,$B46,'DATA INPUT'!$F$3:$F$3000,"&lt;&gt;*Exclude*")))</f>
        <v>#DIV/0!</v>
      </c>
      <c r="I46" s="58" t="e">
        <f>IF($L$2="Yes",(SUMIFS('DATA INPUT'!$C$3:$C$3000,'DATA INPUT'!$A$3:$A$3000,"&gt;="&amp;DATE(2023,1,1),'DATA INPUT'!$A$3:$A$3000,"&lt;="&amp;DATE(2023,12,31),'DATA INPUT'!$B$3:$B$3000,$B46))/(COUNTIFS('DATA INPUT'!$A$3:$A$3000,"&gt;="&amp;DATE(2023,1,1),'DATA INPUT'!$A$3:$A$3000,"&lt;="&amp;DATE(2023,12,31),'DATA INPUT'!$B$3:$B$3000,$B46)),(SUMIFS('DATA INPUT'!$C$3:$C$3000,'DATA INPUT'!$A$3:$A$3000,"&gt;="&amp;DATE(2023,1,1),'DATA INPUT'!$A$3:$A$3000,"&lt;="&amp;DATE(2023,12,31),'DATA INPUT'!$B$3:$B$3000,$B46,'DATA INPUT'!$F$3:$F$3000,"&lt;&gt;*Exclude*"))/(COUNTIFS('DATA INPUT'!$A$3:$A$3000,"&gt;="&amp;DATE(2023,1,1),'DATA INPUT'!$A$3:$A$3000,"&lt;="&amp;DATE(2023,12,31),'DATA INPUT'!$B$3:$B$3000,$B46,'DATA INPUT'!$F$3:$F$3000,"&lt;&gt;*Exclude*")))</f>
        <v>#DIV/0!</v>
      </c>
      <c r="J46" s="58" t="e">
        <f>IF($L$2="Yes",(SUMIFS('DATA INPUT'!$C$3:$C$3000,'DATA INPUT'!$A$3:$A$3000,"&gt;="&amp;DATE(2024,1,1),'DATA INPUT'!$A$3:$A$3000,"&lt;="&amp;DATE(2024,12,31),'DATA INPUT'!$B$3:$B$3000,$B46))/(COUNTIFS('DATA INPUT'!$A$3:$A$3000,"&gt;="&amp;DATE(2024,1,1),'DATA INPUT'!$A$3:$A$3000,"&lt;="&amp;DATE(2024,12,31),'DATA INPUT'!$B$3:$B$3000,$B46)),(SUMIFS('DATA INPUT'!$C$3:$C$3000,'DATA INPUT'!$A$3:$A$3000,"&gt;="&amp;DATE(2024,1,1),'DATA INPUT'!$A$3:$A$3000,"&lt;="&amp;DATE(2024,12,31),'DATA INPUT'!$B$3:$B$3000,$B46,'DATA INPUT'!$F$3:$F$3000,"&lt;&gt;*Exclude*"))/(COUNTIFS('DATA INPUT'!$A$3:$A$3000,"&gt;="&amp;DATE(2024,1,1),'DATA INPUT'!$A$3:$A$3000,"&lt;="&amp;DATE(2024,12,31),'DATA INPUT'!$B$3:$B$3000,$B46,'DATA INPUT'!$F$3:$F$3000,"&lt;&gt;*Exclude*")))</f>
        <v>#DIV/0!</v>
      </c>
      <c r="K46" s="58" t="e">
        <f>IF($L$2="Yes",(SUMIFS('DATA INPUT'!$C$3:$C$3000,'DATA INPUT'!$A$3:$A$3000,"&gt;="&amp;DATE(2025,1,1),'DATA INPUT'!$A$3:$A$3000,"&lt;="&amp;DATE(2025,12,31),'DATA INPUT'!$B$3:$B$3000,$B46))/(COUNTIFS('DATA INPUT'!$A$3:$A$3000,"&gt;="&amp;DATE(2025,1,1),'DATA INPUT'!$A$3:$A$3000,"&lt;="&amp;DATE(2025,12,31),'DATA INPUT'!$B$3:$B$3000,$B46)),(SUMIFS('DATA INPUT'!$C$3:$C$3000,'DATA INPUT'!$A$3:$A$3000,"&gt;="&amp;DATE(2025,1,1),'DATA INPUT'!$A$3:$A$3000,"&lt;="&amp;DATE(2025,12,31),'DATA INPUT'!$B$3:$B$3000,$B46,'DATA INPUT'!$F$3:$F$3000,"&lt;&gt;*Exclude*"))/(COUNTIFS('DATA INPUT'!$A$3:$A$3000,"&gt;="&amp;DATE(2025,1,1),'DATA INPUT'!$A$3:$A$3000,"&lt;="&amp;DATE(2025,12,31),'DATA INPUT'!$B$3:$B$3000,$B46,'DATA INPUT'!$F$3:$F$3000,"&lt;&gt;*Exclude*")))</f>
        <v>#DIV/0!</v>
      </c>
      <c r="L46" s="72" t="str">
        <f t="shared" si="17"/>
        <v/>
      </c>
      <c r="Y46" s="149"/>
      <c r="Z46" s="149" t="s">
        <v>19</v>
      </c>
      <c r="AA46" s="136" t="e">
        <f>IF($L$2="Yes",IF(SUMIFS('DATA INPUT'!$E$3:$E$3000,'DATA INPUT'!$B$3:$B$3000,'Report Tables'!AA$1,'DATA INPUT'!$A$3:$A$3000,"&gt;="&amp;DATE(2020,8,1),'DATA INPUT'!$A$3:$A$3000,"&lt;"&amp;DATE(2020,8,31))=0,#N/A,(SUMIFS('DATA INPUT'!$E$3:$E$3000,'DATA INPUT'!$B$3:$B$3000,'Report Tables'!AA$1,'DATA INPUT'!$A$3:$A$3000,"&gt;="&amp;DATE(2020,8,1),'DATA INPUT'!$A$3:$A$3000,"&lt;"&amp;DATE(2020,8,31)))),IF(SUMIFS('DATA INPUT'!$E$3:$E$3000,'DATA INPUT'!$B$3:$B$3000,'Report Tables'!AA$1,'DATA INPUT'!$A$3:$A$3000,"&gt;="&amp;DATE(2020,8,1),'DATA INPUT'!$A$3:$A$3000,"&lt;"&amp;DATE(2020,8,31),'DATA INPUT'!$F$3:$F$3000,"&lt;&gt;*Exclude*")=0,#N/A,(SUMIFS('DATA INPUT'!$E$3:$E$3000,'DATA INPUT'!$B$3:$B$3000,'Report Tables'!AA$1,'DATA INPUT'!$A$3:$A$3000,"&gt;="&amp;DATE(2020,8,1),'DATA INPUT'!$A$3:$A$3000,"&lt;"&amp;DATE(2020,8,31),'DATA INPUT'!$F$3:$F$3000,"&lt;&gt;*Exclude*"))))</f>
        <v>#N/A</v>
      </c>
      <c r="AB46" s="136" t="e">
        <f>IF($L$2="Yes",IF(SUMIFS('DATA INPUT'!$E$3:$E$3000,'DATA INPUT'!$B$3:$B$3000,'Report Tables'!AB$1,'DATA INPUT'!$A$3:$A$3000,"&gt;="&amp;DATE(2020,8,1),'DATA INPUT'!$A$3:$A$3000,"&lt;"&amp;DATE(2020,8,31))=0,#N/A,(SUMIFS('DATA INPUT'!$E$3:$E$3000,'DATA INPUT'!$B$3:$B$3000,'Report Tables'!AB$1,'DATA INPUT'!$A$3:$A$3000,"&gt;="&amp;DATE(2020,8,1),'DATA INPUT'!$A$3:$A$3000,"&lt;"&amp;DATE(2020,8,31)))),IF(SUMIFS('DATA INPUT'!$E$3:$E$3000,'DATA INPUT'!$B$3:$B$3000,'Report Tables'!AB$1,'DATA INPUT'!$A$3:$A$3000,"&gt;="&amp;DATE(2020,8,1),'DATA INPUT'!$A$3:$A$3000,"&lt;"&amp;DATE(2020,8,31),'DATA INPUT'!$F$3:$F$3000,"&lt;&gt;*Exclude*")=0,#N/A,(SUMIFS('DATA INPUT'!$E$3:$E$3000,'DATA INPUT'!$B$3:$B$3000,'Report Tables'!AB$1,'DATA INPUT'!$A$3:$A$3000,"&gt;="&amp;DATE(2020,8,1),'DATA INPUT'!$A$3:$A$3000,"&lt;"&amp;DATE(2020,8,31),'DATA INPUT'!$F$3:$F$3000,"&lt;&gt;*Exclude*"))))</f>
        <v>#N/A</v>
      </c>
      <c r="AC46" s="136" t="e">
        <f>IF($L$2="Yes",IF(SUMIFS('DATA INPUT'!$E$3:$E$3000,'DATA INPUT'!$B$3:$B$3000,'Report Tables'!AC$1,'DATA INPUT'!$A$3:$A$3000,"&gt;="&amp;DATE(2020,8,1),'DATA INPUT'!$A$3:$A$3000,"&lt;"&amp;DATE(2020,8,31))=0,#N/A,(SUMIFS('DATA INPUT'!$E$3:$E$3000,'DATA INPUT'!$B$3:$B$3000,'Report Tables'!AC$1,'DATA INPUT'!$A$3:$A$3000,"&gt;="&amp;DATE(2020,8,1),'DATA INPUT'!$A$3:$A$3000,"&lt;"&amp;DATE(2020,8,31)))),IF(SUMIFS('DATA INPUT'!$E$3:$E$3000,'DATA INPUT'!$B$3:$B$3000,'Report Tables'!AC$1,'DATA INPUT'!$A$3:$A$3000,"&gt;="&amp;DATE(2020,8,1),'DATA INPUT'!$A$3:$A$3000,"&lt;"&amp;DATE(2020,8,31),'DATA INPUT'!$F$3:$F$3000,"&lt;&gt;*Exclude*")=0,#N/A,(SUMIFS('DATA INPUT'!$E$3:$E$3000,'DATA INPUT'!$B$3:$B$3000,'Report Tables'!AC$1,'DATA INPUT'!$A$3:$A$3000,"&gt;="&amp;DATE(2020,8,1),'DATA INPUT'!$A$3:$A$3000,"&lt;"&amp;DATE(2020,8,31),'DATA INPUT'!$F$3:$F$3000,"&lt;&gt;*Exclude*"))))</f>
        <v>#N/A</v>
      </c>
      <c r="AD46" s="136" t="e">
        <f>IF($L$2="Yes",IF(SUMIFS('DATA INPUT'!$E$3:$E$3000,'DATA INPUT'!$B$3:$B$3000,'Report Tables'!AD$1,'DATA INPUT'!$A$3:$A$3000,"&gt;="&amp;DATE(2020,8,1),'DATA INPUT'!$A$3:$A$3000,"&lt;"&amp;DATE(2020,8,31))=0,#N/A,(SUMIFS('DATA INPUT'!$E$3:$E$3000,'DATA INPUT'!$B$3:$B$3000,'Report Tables'!AD$1,'DATA INPUT'!$A$3:$A$3000,"&gt;="&amp;DATE(2020,8,1),'DATA INPUT'!$A$3:$A$3000,"&lt;"&amp;DATE(2020,8,31)))),IF(SUMIFS('DATA INPUT'!$E$3:$E$3000,'DATA INPUT'!$B$3:$B$3000,'Report Tables'!AD$1,'DATA INPUT'!$A$3:$A$3000,"&gt;="&amp;DATE(2020,8,1),'DATA INPUT'!$A$3:$A$3000,"&lt;"&amp;DATE(2020,8,31),'DATA INPUT'!$F$3:$F$3000,"&lt;&gt;*Exclude*")=0,#N/A,(SUMIFS('DATA INPUT'!$E$3:$E$3000,'DATA INPUT'!$B$3:$B$3000,'Report Tables'!AD$1,'DATA INPUT'!$A$3:$A$3000,"&gt;="&amp;DATE(2020,8,1),'DATA INPUT'!$A$3:$A$3000,"&lt;"&amp;DATE(2020,8,31),'DATA INPUT'!$F$3:$F$3000,"&lt;&gt;*Exclude*"))))</f>
        <v>#N/A</v>
      </c>
      <c r="AE46" s="136" t="e">
        <f>IF($L$2="Yes",IF(SUMIFS('DATA INPUT'!$E$3:$E$3000,'DATA INPUT'!$B$3:$B$3000,'Report Tables'!AE$1,'DATA INPUT'!$A$3:$A$3000,"&gt;="&amp;DATE(2020,8,1),'DATA INPUT'!$A$3:$A$3000,"&lt;"&amp;DATE(2020,8,31))=0,#N/A,(SUMIFS('DATA INPUT'!$E$3:$E$3000,'DATA INPUT'!$B$3:$B$3000,'Report Tables'!AE$1,'DATA INPUT'!$A$3:$A$3000,"&gt;="&amp;DATE(2020,8,1),'DATA INPUT'!$A$3:$A$3000,"&lt;"&amp;DATE(2020,8,31)))),IF(SUMIFS('DATA INPUT'!$E$3:$E$3000,'DATA INPUT'!$B$3:$B$3000,'Report Tables'!AE$1,'DATA INPUT'!$A$3:$A$3000,"&gt;="&amp;DATE(2020,8,1),'DATA INPUT'!$A$3:$A$3000,"&lt;"&amp;DATE(2020,8,31),'DATA INPUT'!$F$3:$F$3000,"&lt;&gt;*Exclude*")=0,#N/A,(SUMIFS('DATA INPUT'!$E$3:$E$3000,'DATA INPUT'!$B$3:$B$3000,'Report Tables'!AE$1,'DATA INPUT'!$A$3:$A$3000,"&gt;="&amp;DATE(2020,8,1),'DATA INPUT'!$A$3:$A$3000,"&lt;"&amp;DATE(2020,8,31),'DATA INPUT'!$F$3:$F$3000,"&lt;&gt;*Exclude*"))))</f>
        <v>#N/A</v>
      </c>
      <c r="AF46" s="136" t="e">
        <f>IF($L$2="Yes",IF(SUMIFS('DATA INPUT'!$E$3:$E$3000,'DATA INPUT'!$B$3:$B$3000,'Report Tables'!AF$1,'DATA INPUT'!$A$3:$A$3000,"&gt;="&amp;DATE(2020,8,1),'DATA INPUT'!$A$3:$A$3000,"&lt;"&amp;DATE(2020,8,31))=0,#N/A,(SUMIFS('DATA INPUT'!$E$3:$E$3000,'DATA INPUT'!$B$3:$B$3000,'Report Tables'!AF$1,'DATA INPUT'!$A$3:$A$3000,"&gt;="&amp;DATE(2020,8,1),'DATA INPUT'!$A$3:$A$3000,"&lt;"&amp;DATE(2020,8,31)))),IF(SUMIFS('DATA INPUT'!$E$3:$E$3000,'DATA INPUT'!$B$3:$B$3000,'Report Tables'!AF$1,'DATA INPUT'!$A$3:$A$3000,"&gt;="&amp;DATE(2020,8,1),'DATA INPUT'!$A$3:$A$3000,"&lt;"&amp;DATE(2020,8,31),'DATA INPUT'!$F$3:$F$3000,"&lt;&gt;*Exclude*")=0,#N/A,(SUMIFS('DATA INPUT'!$E$3:$E$3000,'DATA INPUT'!$B$3:$B$3000,'Report Tables'!AF$1,'DATA INPUT'!$A$3:$A$3000,"&gt;="&amp;DATE(2020,8,1),'DATA INPUT'!$A$3:$A$3000,"&lt;"&amp;DATE(2020,8,31),'DATA INPUT'!$F$3:$F$3000,"&lt;&gt;*Exclude*"))))</f>
        <v>#N/A</v>
      </c>
      <c r="AG46" s="136" t="e">
        <f>IF($L$2="Yes",IF(SUMIFS('DATA INPUT'!$E$3:$E$3000,'DATA INPUT'!$B$3:$B$3000,'Report Tables'!AG$1,'DATA INPUT'!$A$3:$A$3000,"&gt;="&amp;DATE(2020,8,1),'DATA INPUT'!$A$3:$A$3000,"&lt;"&amp;DATE(2020,8,31))=0,#N/A,(SUMIFS('DATA INPUT'!$E$3:$E$3000,'DATA INPUT'!$B$3:$B$3000,'Report Tables'!AG$1,'DATA INPUT'!$A$3:$A$3000,"&gt;="&amp;DATE(2020,8,1),'DATA INPUT'!$A$3:$A$3000,"&lt;"&amp;DATE(2020,8,31)))),IF(SUMIFS('DATA INPUT'!$E$3:$E$3000,'DATA INPUT'!$B$3:$B$3000,'Report Tables'!AG$1,'DATA INPUT'!$A$3:$A$3000,"&gt;="&amp;DATE(2020,8,1),'DATA INPUT'!$A$3:$A$3000,"&lt;"&amp;DATE(2020,8,31),'DATA INPUT'!$F$3:$F$3000,"&lt;&gt;*Exclude*")=0,#N/A,(SUMIFS('DATA INPUT'!$E$3:$E$3000,'DATA INPUT'!$B$3:$B$3000,'Report Tables'!AG$1,'DATA INPUT'!$A$3:$A$3000,"&gt;="&amp;DATE(2020,8,1),'DATA INPUT'!$A$3:$A$3000,"&lt;"&amp;DATE(2020,8,31),'DATA INPUT'!$F$3:$F$3000,"&lt;&gt;*Exclude*"))))</f>
        <v>#N/A</v>
      </c>
      <c r="AH46" s="136" t="e">
        <f>IF($L$2="Yes",IF(SUMIFS('DATA INPUT'!$E$3:$E$3000,'DATA INPUT'!$B$3:$B$3000,'Report Tables'!AH$1,'DATA INPUT'!$A$3:$A$3000,"&gt;="&amp;DATE(2020,8,1),'DATA INPUT'!$A$3:$A$3000,"&lt;"&amp;DATE(2020,8,31))=0,#N/A,(SUMIFS('DATA INPUT'!$E$3:$E$3000,'DATA INPUT'!$B$3:$B$3000,'Report Tables'!AH$1,'DATA INPUT'!$A$3:$A$3000,"&gt;="&amp;DATE(2020,8,1),'DATA INPUT'!$A$3:$A$3000,"&lt;"&amp;DATE(2020,8,31)))),IF(SUMIFS('DATA INPUT'!$E$3:$E$3000,'DATA INPUT'!$B$3:$B$3000,'Report Tables'!AH$1,'DATA INPUT'!$A$3:$A$3000,"&gt;="&amp;DATE(2020,8,1),'DATA INPUT'!$A$3:$A$3000,"&lt;"&amp;DATE(2020,8,31),'DATA INPUT'!$F$3:$F$3000,"&lt;&gt;*Exclude*")=0,#N/A,(SUMIFS('DATA INPUT'!$E$3:$E$3000,'DATA INPUT'!$B$3:$B$3000,'Report Tables'!AH$1,'DATA INPUT'!$A$3:$A$3000,"&gt;="&amp;DATE(2020,8,1),'DATA INPUT'!$A$3:$A$3000,"&lt;"&amp;DATE(2020,8,31),'DATA INPUT'!$F$3:$F$3000,"&lt;&gt;*Exclude*"))))</f>
        <v>#N/A</v>
      </c>
      <c r="AI46" s="136" t="e">
        <f t="shared" si="0"/>
        <v>#N/A</v>
      </c>
      <c r="AJ46" s="136" t="e">
        <f>IF($L$2="Yes",IF(SUMIFS('DATA INPUT'!$D$3:$D$3000,'DATA INPUT'!$A$3:$A$3000,"&gt;="&amp;DATE(2020,8,1),'DATA INPUT'!$A$3:$A$3000,"&lt;"&amp;DATE(2020,8,31),'DATA INPUT'!$G$3:$G$3000,"&lt;&gt;*School service*")=0,#N/A,(SUMIFS('DATA INPUT'!$D$3:$D$3000,'DATA INPUT'!$A$3:$A$3000,"&gt;="&amp;DATE(2020,8,1),'DATA INPUT'!$A$3:$A$3000,"&lt;"&amp;DATE(2020,8,31),'DATA INPUT'!$G$3:$G$3000,"&lt;&gt;*School service*"))),IF(SUMIFS('DATA INPUT'!$D$3:$D$3000,'DATA INPUT'!$A$3:$A$3000,"&gt;="&amp;DATE(2020,8,1),'DATA INPUT'!$A$3:$A$3000,"&lt;"&amp;DATE(2020,8,31),'DATA INPUT'!$F$3:$F$3000,"&lt;&gt;*Exclude*",'DATA INPUT'!$G$3:$G$3000,"&lt;&gt;*School service*")=0,#N/A,(SUMIFS('DATA INPUT'!$D$3:$D$3000,'DATA INPUT'!$A$3:$A$3000,"&gt;="&amp;DATE(2020,8,1),'DATA INPUT'!$A$3:$A$3000,"&lt;"&amp;DATE(2020,8,31),'DATA INPUT'!$F$3:$F$3000,"&lt;&gt;*Exclude*",'DATA INPUT'!$G$3:$G$3000,"&lt;&gt;*School service*"))))</f>
        <v>#N/A</v>
      </c>
      <c r="AK46" s="136" t="e">
        <f>AI46-AJ46</f>
        <v>#N/A</v>
      </c>
      <c r="AM46" s="117" t="e">
        <f>IF($L$2="Yes",IFERROR((SUMIFS('DATA INPUT'!$E$3:$E$3000,'DATA INPUT'!$B$3:$B$3000,'Report Tables'!AM$1,'DATA INPUT'!$A$3:$A$3000,"&gt;="&amp;DATE(2020,8,1),'DATA INPUT'!$A$3:$A$3000,"&lt;"&amp;DATE(2020,8,31)))/COUNTIFS('DATA INPUT'!$B$3:$B$3000,'Report Tables'!AM$1,'DATA INPUT'!$A$3:$A$3000,"&gt;="&amp;DATE(2020,8,1),'DATA INPUT'!$A$3:$A$3000,"&lt;"&amp;DATE(2020,8,31)),#N/A),IFERROR((SUMIFS('DATA INPUT'!$E$3:$E$3000,'DATA INPUT'!$B$3:$B$3000,'Report Tables'!AM$1,'DATA INPUT'!$A$3:$A$3000,"&gt;="&amp;DATE(2020,8,1),'DATA INPUT'!$A$3:$A$3000,"&lt;"&amp;DATE(2020,8,31),'DATA INPUT'!$F$3:$F$3000,"&lt;&gt;*Exclude*"))/(COUNTIFS('DATA INPUT'!$B$3:$B$3000,'Report Tables'!AM$1,'DATA INPUT'!$A$3:$A$3000,"&gt;="&amp;DATE(2020,8,1),'DATA INPUT'!$A$3:$A$3000,"&lt;"&amp;DATE(2020,8,31),'DATA INPUT'!$F$3:$F$3000,"&lt;&gt;*Exclude*")),#N/A))</f>
        <v>#N/A</v>
      </c>
      <c r="AN46" s="117" t="e">
        <f>IF($L$2="Yes",IFERROR((SUMIFS('DATA INPUT'!$E$3:$E$3000,'DATA INPUT'!$B$3:$B$3000,'Report Tables'!AN$1,'DATA INPUT'!$A$3:$A$3000,"&gt;="&amp;DATE(2020,8,1),'DATA INPUT'!$A$3:$A$3000,"&lt;"&amp;DATE(2020,8,31)))/COUNTIFS('DATA INPUT'!$B$3:$B$3000,'Report Tables'!AN$1,'DATA INPUT'!$A$3:$A$3000,"&gt;="&amp;DATE(2020,8,1),'DATA INPUT'!$A$3:$A$3000,"&lt;"&amp;DATE(2020,8,31)),#N/A),IFERROR((SUMIFS('DATA INPUT'!$E$3:$E$3000,'DATA INPUT'!$B$3:$B$3000,'Report Tables'!AN$1,'DATA INPUT'!$A$3:$A$3000,"&gt;="&amp;DATE(2020,8,1),'DATA INPUT'!$A$3:$A$3000,"&lt;"&amp;DATE(2020,8,31),'DATA INPUT'!$F$3:$F$3000,"&lt;&gt;*Exclude*"))/(COUNTIFS('DATA INPUT'!$B$3:$B$3000,'Report Tables'!AN$1,'DATA INPUT'!$A$3:$A$3000,"&gt;="&amp;DATE(2020,8,1),'DATA INPUT'!$A$3:$A$3000,"&lt;"&amp;DATE(2020,8,31),'DATA INPUT'!$F$3:$F$3000,"&lt;&gt;*Exclude*")),#N/A))</f>
        <v>#N/A</v>
      </c>
      <c r="AO46" s="117" t="e">
        <f>IF($L$2="Yes",IFERROR((SUMIFS('DATA INPUT'!$E$3:$E$3000,'DATA INPUT'!$B$3:$B$3000,'Report Tables'!AO$1,'DATA INPUT'!$A$3:$A$3000,"&gt;="&amp;DATE(2020,8,1),'DATA INPUT'!$A$3:$A$3000,"&lt;"&amp;DATE(2020,8,31)))/COUNTIFS('DATA INPUT'!$B$3:$B$3000,'Report Tables'!AO$1,'DATA INPUT'!$A$3:$A$3000,"&gt;="&amp;DATE(2020,8,1),'DATA INPUT'!$A$3:$A$3000,"&lt;"&amp;DATE(2020,8,31)),#N/A),IFERROR((SUMIFS('DATA INPUT'!$E$3:$E$3000,'DATA INPUT'!$B$3:$B$3000,'Report Tables'!AO$1,'DATA INPUT'!$A$3:$A$3000,"&gt;="&amp;DATE(2020,8,1),'DATA INPUT'!$A$3:$A$3000,"&lt;"&amp;DATE(2020,8,31),'DATA INPUT'!$F$3:$F$3000,"&lt;&gt;*Exclude*"))/(COUNTIFS('DATA INPUT'!$B$3:$B$3000,'Report Tables'!AO$1,'DATA INPUT'!$A$3:$A$3000,"&gt;="&amp;DATE(2020,8,1),'DATA INPUT'!$A$3:$A$3000,"&lt;"&amp;DATE(2020,8,31),'DATA INPUT'!$F$3:$F$3000,"&lt;&gt;*Exclude*")),#N/A))</f>
        <v>#N/A</v>
      </c>
      <c r="AP46" s="117" t="e">
        <f>IF($L$2="Yes",IFERROR((SUMIFS('DATA INPUT'!$E$3:$E$3000,'DATA INPUT'!$B$3:$B$3000,'Report Tables'!AP$1,'DATA INPUT'!$A$3:$A$3000,"&gt;="&amp;DATE(2020,8,1),'DATA INPUT'!$A$3:$A$3000,"&lt;"&amp;DATE(2020,8,31)))/COUNTIFS('DATA INPUT'!$B$3:$B$3000,'Report Tables'!AP$1,'DATA INPUT'!$A$3:$A$3000,"&gt;="&amp;DATE(2020,8,1),'DATA INPUT'!$A$3:$A$3000,"&lt;"&amp;DATE(2020,8,31)),#N/A),IFERROR((SUMIFS('DATA INPUT'!$E$3:$E$3000,'DATA INPUT'!$B$3:$B$3000,'Report Tables'!AP$1,'DATA INPUT'!$A$3:$A$3000,"&gt;="&amp;DATE(2020,8,1),'DATA INPUT'!$A$3:$A$3000,"&lt;"&amp;DATE(2020,8,31),'DATA INPUT'!$F$3:$F$3000,"&lt;&gt;*Exclude*"))/(COUNTIFS('DATA INPUT'!$B$3:$B$3000,'Report Tables'!AP$1,'DATA INPUT'!$A$3:$A$3000,"&gt;="&amp;DATE(2020,8,1),'DATA INPUT'!$A$3:$A$3000,"&lt;"&amp;DATE(2020,8,31),'DATA INPUT'!$F$3:$F$3000,"&lt;&gt;*Exclude*")),#N/A))</f>
        <v>#N/A</v>
      </c>
      <c r="AQ46" s="117" t="e">
        <f>IF($L$2="Yes",IFERROR((SUMIFS('DATA INPUT'!$E$3:$E$3000,'DATA INPUT'!$B$3:$B$3000,'Report Tables'!AQ$1,'DATA INPUT'!$A$3:$A$3000,"&gt;="&amp;DATE(2020,8,1),'DATA INPUT'!$A$3:$A$3000,"&lt;"&amp;DATE(2020,8,31)))/COUNTIFS('DATA INPUT'!$B$3:$B$3000,'Report Tables'!AQ$1,'DATA INPUT'!$A$3:$A$3000,"&gt;="&amp;DATE(2020,8,1),'DATA INPUT'!$A$3:$A$3000,"&lt;"&amp;DATE(2020,8,31)),#N/A),IFERROR((SUMIFS('DATA INPUT'!$E$3:$E$3000,'DATA INPUT'!$B$3:$B$3000,'Report Tables'!AQ$1,'DATA INPUT'!$A$3:$A$3000,"&gt;="&amp;DATE(2020,8,1),'DATA INPUT'!$A$3:$A$3000,"&lt;"&amp;DATE(2020,8,31),'DATA INPUT'!$F$3:$F$3000,"&lt;&gt;*Exclude*"))/(COUNTIFS('DATA INPUT'!$B$3:$B$3000,'Report Tables'!AQ$1,'DATA INPUT'!$A$3:$A$3000,"&gt;="&amp;DATE(2020,8,1),'DATA INPUT'!$A$3:$A$3000,"&lt;"&amp;DATE(2020,8,31),'DATA INPUT'!$F$3:$F$3000,"&lt;&gt;*Exclude*")),#N/A))</f>
        <v>#N/A</v>
      </c>
      <c r="AR46" s="117" t="e">
        <f>IF($L$2="Yes",IFERROR((SUMIFS('DATA INPUT'!$E$3:$E$3000,'DATA INPUT'!$B$3:$B$3000,'Report Tables'!AR$1,'DATA INPUT'!$A$3:$A$3000,"&gt;="&amp;DATE(2020,8,1),'DATA INPUT'!$A$3:$A$3000,"&lt;"&amp;DATE(2020,8,31)))/COUNTIFS('DATA INPUT'!$B$3:$B$3000,'Report Tables'!AR$1,'DATA INPUT'!$A$3:$A$3000,"&gt;="&amp;DATE(2020,8,1),'DATA INPUT'!$A$3:$A$3000,"&lt;"&amp;DATE(2020,8,31)),#N/A),IFERROR((SUMIFS('DATA INPUT'!$E$3:$E$3000,'DATA INPUT'!$B$3:$B$3000,'Report Tables'!AR$1,'DATA INPUT'!$A$3:$A$3000,"&gt;="&amp;DATE(2020,8,1),'DATA INPUT'!$A$3:$A$3000,"&lt;"&amp;DATE(2020,8,31),'DATA INPUT'!$F$3:$F$3000,"&lt;&gt;*Exclude*"))/(COUNTIFS('DATA INPUT'!$B$3:$B$3000,'Report Tables'!AR$1,'DATA INPUT'!$A$3:$A$3000,"&gt;="&amp;DATE(2020,8,1),'DATA INPUT'!$A$3:$A$3000,"&lt;"&amp;DATE(2020,8,31),'DATA INPUT'!$F$3:$F$3000,"&lt;&gt;*Exclude*")),#N/A))</f>
        <v>#N/A</v>
      </c>
      <c r="AS46" s="117" t="e">
        <f>IF($L$2="Yes",IFERROR((SUMIFS('DATA INPUT'!$E$3:$E$3000,'DATA INPUT'!$B$3:$B$3000,'Report Tables'!AS$1,'DATA INPUT'!$A$3:$A$3000,"&gt;="&amp;DATE(2020,8,1),'DATA INPUT'!$A$3:$A$3000,"&lt;"&amp;DATE(2020,8,31)))/COUNTIFS('DATA INPUT'!$B$3:$B$3000,'Report Tables'!AS$1,'DATA INPUT'!$A$3:$A$3000,"&gt;="&amp;DATE(2020,8,1),'DATA INPUT'!$A$3:$A$3000,"&lt;"&amp;DATE(2020,8,31)),#N/A),IFERROR((SUMIFS('DATA INPUT'!$E$3:$E$3000,'DATA INPUT'!$B$3:$B$3000,'Report Tables'!AS$1,'DATA INPUT'!$A$3:$A$3000,"&gt;="&amp;DATE(2020,8,1),'DATA INPUT'!$A$3:$A$3000,"&lt;"&amp;DATE(2020,8,31),'DATA INPUT'!$F$3:$F$3000,"&lt;&gt;*Exclude*"))/(COUNTIFS('DATA INPUT'!$B$3:$B$3000,'Report Tables'!AS$1,'DATA INPUT'!$A$3:$A$3000,"&gt;="&amp;DATE(2020,8,1),'DATA INPUT'!$A$3:$A$3000,"&lt;"&amp;DATE(2020,8,31),'DATA INPUT'!$F$3:$F$3000,"&lt;&gt;*Exclude*")),#N/A))</f>
        <v>#N/A</v>
      </c>
      <c r="AT46" s="117" t="e">
        <f>IF($L$2="Yes",IFERROR((SUMIFS('DATA INPUT'!$E$3:$E$3000,'DATA INPUT'!$B$3:$B$3000,'Report Tables'!AT$1,'DATA INPUT'!$A$3:$A$3000,"&gt;="&amp;DATE(2020,8,1),'DATA INPUT'!$A$3:$A$3000,"&lt;"&amp;DATE(2020,8,31)))/COUNTIFS('DATA INPUT'!$B$3:$B$3000,'Report Tables'!AT$1,'DATA INPUT'!$A$3:$A$3000,"&gt;="&amp;DATE(2020,8,1),'DATA INPUT'!$A$3:$A$3000,"&lt;"&amp;DATE(2020,8,31)),#N/A),IFERROR((SUMIFS('DATA INPUT'!$E$3:$E$3000,'DATA INPUT'!$B$3:$B$3000,'Report Tables'!AT$1,'DATA INPUT'!$A$3:$A$3000,"&gt;="&amp;DATE(2020,8,1),'DATA INPUT'!$A$3:$A$3000,"&lt;"&amp;DATE(2020,8,31),'DATA INPUT'!$F$3:$F$3000,"&lt;&gt;*Exclude*"))/(COUNTIFS('DATA INPUT'!$B$3:$B$3000,'Report Tables'!AT$1,'DATA INPUT'!$A$3:$A$3000,"&gt;="&amp;DATE(2020,8,1),'DATA INPUT'!$A$3:$A$3000,"&lt;"&amp;DATE(2020,8,31),'DATA INPUT'!$F$3:$F$3000,"&lt;&gt;*Exclude*")),#N/A))</f>
        <v>#N/A</v>
      </c>
      <c r="AU46" s="117" t="e">
        <f t="shared" si="1"/>
        <v>#N/A</v>
      </c>
      <c r="AV46" s="117" t="e">
        <f>IF($L$2="Yes",IFERROR((SUMIFS('DATA INPUT'!$D$3:$D$3000,'DATA INPUT'!$A$3:$A$3000,"&gt;="&amp;DATE(2020,8,1),'DATA INPUT'!$A$3:$A$3000,"&lt;"&amp;DATE(2020,8,31),'DATA INPUT'!$G$3:$G$3000,"&lt;&gt;*School service*"))/COUNTIFS('DATA INPUT'!$A$3:$A$3000,"&gt;="&amp;DATE(2020,8,1),'DATA INPUT'!$A$3:$A$3000,"&lt;"&amp;DATE(2020,8,31),'DATA INPUT'!$G$3:$G$3000,"&lt;&gt;*School service*",'DATA INPUT'!$D$3:$D$3000,"&lt;&gt;"&amp;""),#N/A),IFERROR((SUMIFS('DATA INPUT'!$D$3:$D$3000,'DATA INPUT'!$A$3:$A$3000,"&gt;="&amp;DATE(2020,8,1),'DATA INPUT'!$A$3:$A$3000,"&lt;"&amp;DATE(2020,8,31),'DATA INPUT'!$F$3:$F$3000,"&lt;&gt;*Exclude*",'DATA INPUT'!$G$3:$G$3000,"&lt;&gt;*School service*"))/(COUNTIFS('DATA INPUT'!$A$3:$A$3000,"&gt;="&amp;DATE(2020,8,1),'DATA INPUT'!$A$3:$A$3000,"&lt;"&amp;DATE(2020,8,31),'DATA INPUT'!$F$3:$F$3000,"&lt;&gt;*Exclude*",'DATA INPUT'!$G$3:$G$3000,"&lt;&gt;*School service*",'DATA INPUT'!$D$3:$D$3000,"&lt;&gt;"&amp;"")),#N/A))</f>
        <v>#N/A</v>
      </c>
      <c r="AW46" s="117" t="e">
        <f t="shared" si="2"/>
        <v>#N/A</v>
      </c>
      <c r="AX46" s="117" t="e">
        <f>IF($L$2="Yes",IFERROR((SUMIFS('DATA INPUT'!$E$3:$E$3000,'DATA INPUT'!$B$3:$B$3000,'Report Tables'!AX$1,'DATA INPUT'!$A$3:$A$3000,"&gt;="&amp;DATE(2020,8,1),'DATA INPUT'!$A$3:$A$3000,"&lt;"&amp;DATE(2020,8,31)))/COUNTIFS('DATA INPUT'!$B$3:$B$3000,'Report Tables'!AX$1,'DATA INPUT'!$A$3:$A$3000,"&gt;="&amp;DATE(2020,8,1),'DATA INPUT'!$A$3:$A$3000,"&lt;"&amp;DATE(2020,8,31)),#N/A),IFERROR((SUMIFS('DATA INPUT'!$E$3:$E$3000,'DATA INPUT'!$B$3:$B$3000,'Report Tables'!AX$1,'DATA INPUT'!$A$3:$A$3000,"&gt;="&amp;DATE(2020,8,1),'DATA INPUT'!$A$3:$A$3000,"&lt;"&amp;DATE(2020,8,31),'DATA INPUT'!$F$3:$F$3000,"&lt;&gt;*Exclude*"))/(COUNTIFS('DATA INPUT'!$B$3:$B$3000,'Report Tables'!AX$1,'DATA INPUT'!$A$3:$A$3000,"&gt;="&amp;DATE(2020,8,1),'DATA INPUT'!$A$3:$A$3000,"&lt;"&amp;DATE(2020,8,31),'DATA INPUT'!$F$3:$F$3000,"&lt;&gt;*Exclude*")),#N/A))</f>
        <v>#N/A</v>
      </c>
      <c r="AY46" s="117" t="e">
        <f>IF($L$2="Yes",IFERROR((SUMIFS('DATA INPUT'!$D$3:$D$3000,'DATA INPUT'!$B$3:$B$3000,'Report Tables'!AX$1,'DATA INPUT'!$A$3:$A$3000,"&gt;="&amp;DATE(2020,8,1),'DATA INPUT'!$A$3:$A$3000,"&lt;"&amp;DATE(2020,8,31)))/COUNTIFS('DATA INPUT'!$B$3:$B$3000,'Report Tables'!AX$1,'DATA INPUT'!$A$3:$A$3000,"&gt;="&amp;DATE(2020,8,1),'DATA INPUT'!$A$3:$A$3000,"&lt;"&amp;DATE(2020,8,31)),#N/A),IFERROR((SUMIFS('DATA INPUT'!$D$3:$D$3000,'DATA INPUT'!$B$3:$B$3000,'Report Tables'!AX$1,'DATA INPUT'!$A$3:$A$3000,"&gt;="&amp;DATE(2020,8,1),'DATA INPUT'!$A$3:$A$3000,"&lt;"&amp;DATE(2020,8,31),'DATA INPUT'!$F$3:$F$3000,"&lt;&gt;*Exclude*"))/(COUNTIFS('DATA INPUT'!$B$3:$B$3000,'Report Tables'!AX$1,'DATA INPUT'!$A$3:$A$3000,"&gt;="&amp;DATE(2020,8,1),'DATA INPUT'!$A$3:$A$3000,"&lt;"&amp;DATE(2020,8,31),'DATA INPUT'!$F$3:$F$3000,"&lt;&gt;*Exclude*")),#N/A))</f>
        <v>#N/A</v>
      </c>
      <c r="AZ46" s="117" t="e">
        <f>IF($L$2="Yes",IFERROR((SUMIFS('DATA INPUT'!$C$3:$C$3000,'DATA INPUT'!$B$3:$B$3000,'Report Tables'!AX$1,'DATA INPUT'!$A$3:$A$3000,"&gt;="&amp;DATE(2020,8,1),'DATA INPUT'!$A$3:$A$3000,"&lt;"&amp;DATE(2020,8,31)))/COUNTIFS('DATA INPUT'!$B$3:$B$3000,'Report Tables'!AX$1,'DATA INPUT'!$A$3:$A$3000,"&gt;="&amp;DATE(2020,8,1),'DATA INPUT'!$A$3:$A$3000,"&lt;"&amp;DATE(2020,8,31)),#N/A),IFERROR((SUMIFS('DATA INPUT'!$C$3:$C$3000,'DATA INPUT'!$B$3:$B$3000,'Report Tables'!AX$1,'DATA INPUT'!$A$3:$A$3000,"&gt;="&amp;DATE(2020,8,1),'DATA INPUT'!$A$3:$A$3000,"&lt;"&amp;DATE(2020,8,31),'DATA INPUT'!$F$3:$F$3000,"&lt;&gt;*Exclude*"))/(COUNTIFS('DATA INPUT'!$B$3:$B$3000,'Report Tables'!AX$1,'DATA INPUT'!$A$3:$A$3000,"&gt;="&amp;DATE(2020,8,1),'DATA INPUT'!$A$3:$A$3000,"&lt;"&amp;DATE(2020,8,31),'DATA INPUT'!$F$3:$F$3000,"&lt;&gt;*Exclude*")),#N/A))</f>
        <v>#N/A</v>
      </c>
    </row>
    <row r="47" spans="1:52" x14ac:dyDescent="0.3">
      <c r="A47" s="95" t="e">
        <f>VLOOKUP(B47,Information!$C$8:$F$15,4,FALSE)</f>
        <v>#N/A</v>
      </c>
      <c r="B47" s="53">
        <f>$B$11</f>
        <v>0</v>
      </c>
      <c r="C47" s="58" t="e">
        <f>IF($L$2="Yes",(SUMIFS('DATA INPUT'!$C$3:$C$3000,'DATA INPUT'!$A$3:$A$3000,"&gt;="&amp;DATE(2017,1,1),'DATA INPUT'!$A$3:$A$3000,"&lt;="&amp;DATE(2017,12,31),'DATA INPUT'!$B$3:$B$3000,$B47))/(COUNTIFS('DATA INPUT'!$A$3:$A$3000,"&gt;="&amp;DATE(2017,1,1),'DATA INPUT'!$A$3:$A$3000,"&lt;="&amp;DATE(2017,12,31),'DATA INPUT'!$B$3:$B$3000,$B47)),(SUMIFS('DATA INPUT'!$C$3:$C$3000,'DATA INPUT'!$A$3:$A$3000,"&gt;="&amp;DATE(2017,1,1),'DATA INPUT'!$A$3:$A$3000,"&lt;="&amp;DATE(2017,12,31),'DATA INPUT'!$B$3:$B$3000,$B47,'DATA INPUT'!$F$3:$F$3000,"&lt;&gt;*Exclude*"))/(COUNTIFS('DATA INPUT'!$A$3:$A$3000,"&gt;="&amp;DATE(2017,1,1),'DATA INPUT'!$A$3:$A$3000,"&lt;="&amp;DATE(2017,12,31),'DATA INPUT'!$B$3:$B$3000,$B47,'DATA INPUT'!$F$3:$F$3000,"&lt;&gt;*Exclude*")))</f>
        <v>#DIV/0!</v>
      </c>
      <c r="D47" s="58" t="e">
        <f>IF($L$2="Yes",(SUMIFS('DATA INPUT'!$C$3:$C$3000,'DATA INPUT'!$A$3:$A$3000,"&gt;="&amp;DATE(2018,1,1),'DATA INPUT'!$A$3:$A$3000,"&lt;="&amp;DATE(2018,12,31),'DATA INPUT'!$B$3:$B$3000,$B47))/(COUNTIFS('DATA INPUT'!$A$3:$A$3000,"&gt;="&amp;DATE(2018,1,1),'DATA INPUT'!$A$3:$A$3000,"&lt;="&amp;DATE(2018,12,31),'DATA INPUT'!$B$3:$B$3000,$B47)),(SUMIFS('DATA INPUT'!$C$3:$C$3000,'DATA INPUT'!$A$3:$A$3000,"&gt;="&amp;DATE(2018,1,1),'DATA INPUT'!$A$3:$A$3000,"&lt;="&amp;DATE(2018,12,31),'DATA INPUT'!$B$3:$B$3000,$B47,'DATA INPUT'!$F$3:$F$3000,"&lt;&gt;*Exclude*"))/(COUNTIFS('DATA INPUT'!$A$3:$A$3000,"&gt;="&amp;DATE(2018,1,1),'DATA INPUT'!$A$3:$A$3000,"&lt;="&amp;DATE(2018,12,31),'DATA INPUT'!$B$3:$B$3000,$B47,'DATA INPUT'!$F$3:$F$3000,"&lt;&gt;*Exclude*")))</f>
        <v>#DIV/0!</v>
      </c>
      <c r="E47" s="58" t="e">
        <f>IF($L$2="Yes",(SUMIFS('DATA INPUT'!$C$3:$C$3000,'DATA INPUT'!$A$3:$A$3000,"&gt;="&amp;DATE(2019,1,1),'DATA INPUT'!$A$3:$A$3000,"&lt;="&amp;DATE(2019,12,31),'DATA INPUT'!$B$3:$B$3000,$B47))/(COUNTIFS('DATA INPUT'!$A$3:$A$3000,"&gt;="&amp;DATE(2019,1,1),'DATA INPUT'!$A$3:$A$3000,"&lt;="&amp;DATE(2019,12,31),'DATA INPUT'!$B$3:$B$3000,$B47)),(SUMIFS('DATA INPUT'!$C$3:$C$3000,'DATA INPUT'!$A$3:$A$3000,"&gt;="&amp;DATE(2019,1,1),'DATA INPUT'!$A$3:$A$3000,"&lt;="&amp;DATE(2019,12,31),'DATA INPUT'!$B$3:$B$3000,$B47,'DATA INPUT'!$F$3:$F$3000,"&lt;&gt;*Exclude*"))/(COUNTIFS('DATA INPUT'!$A$3:$A$3000,"&gt;="&amp;DATE(2019,1,1),'DATA INPUT'!$A$3:$A$3000,"&lt;="&amp;DATE(2019,12,31),'DATA INPUT'!$B$3:$B$3000,$B47,'DATA INPUT'!$F$3:$F$3000,"&lt;&gt;*Exclude*")))</f>
        <v>#DIV/0!</v>
      </c>
      <c r="F47" s="58" t="e">
        <f>IF($L$2="Yes",(SUMIFS('DATA INPUT'!$C$3:$C$3000,'DATA INPUT'!$A$3:$A$3000,"&gt;="&amp;DATE(2020,1,1),'DATA INPUT'!$A$3:$A$3000,"&lt;="&amp;DATE(2020,12,31),'DATA INPUT'!$B$3:$B$3000,$B47))/(COUNTIFS('DATA INPUT'!$A$3:$A$3000,"&gt;="&amp;DATE(2020,1,1),'DATA INPUT'!$A$3:$A$3000,"&lt;="&amp;DATE(2020,12,31),'DATA INPUT'!$B$3:$B$3000,$B47)),(SUMIFS('DATA INPUT'!$C$3:$C$3000,'DATA INPUT'!$A$3:$A$3000,"&gt;="&amp;DATE(2020,1,1),'DATA INPUT'!$A$3:$A$3000,"&lt;="&amp;DATE(2020,12,31),'DATA INPUT'!$B$3:$B$3000,$B47,'DATA INPUT'!$F$3:$F$3000,"&lt;&gt;*Exclude*"))/(COUNTIFS('DATA INPUT'!$A$3:$A$3000,"&gt;="&amp;DATE(2020,1,1),'DATA INPUT'!$A$3:$A$3000,"&lt;="&amp;DATE(2020,12,31),'DATA INPUT'!$B$3:$B$3000,$B47,'DATA INPUT'!$F$3:$F$3000,"&lt;&gt;*Exclude*")))</f>
        <v>#DIV/0!</v>
      </c>
      <c r="G47" s="58" t="e">
        <f>IF($L$2="Yes",(SUMIFS('DATA INPUT'!$C$3:$C$3000,'DATA INPUT'!$A$3:$A$3000,"&gt;="&amp;DATE(2021,1,1),'DATA INPUT'!$A$3:$A$3000,"&lt;="&amp;DATE(2021,12,31),'DATA INPUT'!$B$3:$B$3000,$B47))/(COUNTIFS('DATA INPUT'!$A$3:$A$3000,"&gt;="&amp;DATE(2021,1,1),'DATA INPUT'!$A$3:$A$3000,"&lt;="&amp;DATE(2021,12,31),'DATA INPUT'!$B$3:$B$3000,$B47)),(SUMIFS('DATA INPUT'!$C$3:$C$3000,'DATA INPUT'!$A$3:$A$3000,"&gt;="&amp;DATE(2021,1,1),'DATA INPUT'!$A$3:$A$3000,"&lt;="&amp;DATE(2021,12,31),'DATA INPUT'!$B$3:$B$3000,$B47,'DATA INPUT'!$F$3:$F$3000,"&lt;&gt;*Exclude*"))/(COUNTIFS('DATA INPUT'!$A$3:$A$3000,"&gt;="&amp;DATE(2021,1,1),'DATA INPUT'!$A$3:$A$3000,"&lt;="&amp;DATE(2021,12,31),'DATA INPUT'!$B$3:$B$3000,$B47,'DATA INPUT'!$F$3:$F$3000,"&lt;&gt;*Exclude*")))</f>
        <v>#DIV/0!</v>
      </c>
      <c r="H47" s="58" t="e">
        <f>IF($L$2="Yes",(SUMIFS('DATA INPUT'!$C$3:$C$3000,'DATA INPUT'!$A$3:$A$3000,"&gt;="&amp;DATE(2022,1,1),'DATA INPUT'!$A$3:$A$3000,"&lt;="&amp;DATE(2022,12,31),'DATA INPUT'!$B$3:$B$3000,$B47))/(COUNTIFS('DATA INPUT'!$A$3:$A$3000,"&gt;="&amp;DATE(2022,1,1),'DATA INPUT'!$A$3:$A$3000,"&lt;="&amp;DATE(2022,12,31),'DATA INPUT'!$B$3:$B$3000,$B47)),(SUMIFS('DATA INPUT'!$C$3:$C$3000,'DATA INPUT'!$A$3:$A$3000,"&gt;="&amp;DATE(2022,1,1),'DATA INPUT'!$A$3:$A$3000,"&lt;="&amp;DATE(2022,12,31),'DATA INPUT'!$B$3:$B$3000,$B47,'DATA INPUT'!$F$3:$F$3000,"&lt;&gt;*Exclude*"))/(COUNTIFS('DATA INPUT'!$A$3:$A$3000,"&gt;="&amp;DATE(2022,1,1),'DATA INPUT'!$A$3:$A$3000,"&lt;="&amp;DATE(2022,12,31),'DATA INPUT'!$B$3:$B$3000,$B47,'DATA INPUT'!$F$3:$F$3000,"&lt;&gt;*Exclude*")))</f>
        <v>#DIV/0!</v>
      </c>
      <c r="I47" s="58" t="e">
        <f>IF($L$2="Yes",(SUMIFS('DATA INPUT'!$C$3:$C$3000,'DATA INPUT'!$A$3:$A$3000,"&gt;="&amp;DATE(2023,1,1),'DATA INPUT'!$A$3:$A$3000,"&lt;="&amp;DATE(2023,12,31),'DATA INPUT'!$B$3:$B$3000,$B47))/(COUNTIFS('DATA INPUT'!$A$3:$A$3000,"&gt;="&amp;DATE(2023,1,1),'DATA INPUT'!$A$3:$A$3000,"&lt;="&amp;DATE(2023,12,31),'DATA INPUT'!$B$3:$B$3000,$B47)),(SUMIFS('DATA INPUT'!$C$3:$C$3000,'DATA INPUT'!$A$3:$A$3000,"&gt;="&amp;DATE(2023,1,1),'DATA INPUT'!$A$3:$A$3000,"&lt;="&amp;DATE(2023,12,31),'DATA INPUT'!$B$3:$B$3000,$B47,'DATA INPUT'!$F$3:$F$3000,"&lt;&gt;*Exclude*"))/(COUNTIFS('DATA INPUT'!$A$3:$A$3000,"&gt;="&amp;DATE(2023,1,1),'DATA INPUT'!$A$3:$A$3000,"&lt;="&amp;DATE(2023,12,31),'DATA INPUT'!$B$3:$B$3000,$B47,'DATA INPUT'!$F$3:$F$3000,"&lt;&gt;*Exclude*")))</f>
        <v>#DIV/0!</v>
      </c>
      <c r="J47" s="58" t="e">
        <f>IF($L$2="Yes",(SUMIFS('DATA INPUT'!$C$3:$C$3000,'DATA INPUT'!$A$3:$A$3000,"&gt;="&amp;DATE(2024,1,1),'DATA INPUT'!$A$3:$A$3000,"&lt;="&amp;DATE(2024,12,31),'DATA INPUT'!$B$3:$B$3000,$B47))/(COUNTIFS('DATA INPUT'!$A$3:$A$3000,"&gt;="&amp;DATE(2024,1,1),'DATA INPUT'!$A$3:$A$3000,"&lt;="&amp;DATE(2024,12,31),'DATA INPUT'!$B$3:$B$3000,$B47)),(SUMIFS('DATA INPUT'!$C$3:$C$3000,'DATA INPUT'!$A$3:$A$3000,"&gt;="&amp;DATE(2024,1,1),'DATA INPUT'!$A$3:$A$3000,"&lt;="&amp;DATE(2024,12,31),'DATA INPUT'!$B$3:$B$3000,$B47,'DATA INPUT'!$F$3:$F$3000,"&lt;&gt;*Exclude*"))/(COUNTIFS('DATA INPUT'!$A$3:$A$3000,"&gt;="&amp;DATE(2024,1,1),'DATA INPUT'!$A$3:$A$3000,"&lt;="&amp;DATE(2024,12,31),'DATA INPUT'!$B$3:$B$3000,$B47,'DATA INPUT'!$F$3:$F$3000,"&lt;&gt;*Exclude*")))</f>
        <v>#DIV/0!</v>
      </c>
      <c r="K47" s="58" t="e">
        <f>IF($L$2="Yes",(SUMIFS('DATA INPUT'!$C$3:$C$3000,'DATA INPUT'!$A$3:$A$3000,"&gt;="&amp;DATE(2025,1,1),'DATA INPUT'!$A$3:$A$3000,"&lt;="&amp;DATE(2025,12,31),'DATA INPUT'!$B$3:$B$3000,$B47))/(COUNTIFS('DATA INPUT'!$A$3:$A$3000,"&gt;="&amp;DATE(2025,1,1),'DATA INPUT'!$A$3:$A$3000,"&lt;="&amp;DATE(2025,12,31),'DATA INPUT'!$B$3:$B$3000,$B47)),(SUMIFS('DATA INPUT'!$C$3:$C$3000,'DATA INPUT'!$A$3:$A$3000,"&gt;="&amp;DATE(2025,1,1),'DATA INPUT'!$A$3:$A$3000,"&lt;="&amp;DATE(2025,12,31),'DATA INPUT'!$B$3:$B$3000,$B47,'DATA INPUT'!$F$3:$F$3000,"&lt;&gt;*Exclude*"))/(COUNTIFS('DATA INPUT'!$A$3:$A$3000,"&gt;="&amp;DATE(2025,1,1),'DATA INPUT'!$A$3:$A$3000,"&lt;="&amp;DATE(2025,12,31),'DATA INPUT'!$B$3:$B$3000,$B47,'DATA INPUT'!$F$3:$F$3000,"&lt;&gt;*Exclude*")))</f>
        <v>#DIV/0!</v>
      </c>
      <c r="L47" s="72" t="str">
        <f t="shared" si="17"/>
        <v/>
      </c>
      <c r="Y47" s="149"/>
      <c r="Z47" s="149" t="s">
        <v>20</v>
      </c>
      <c r="AA47" s="136" t="e">
        <f>IF($L$2="Yes",IF(SUMIFS('DATA INPUT'!$E$3:$E$3000,'DATA INPUT'!$B$3:$B$3000,'Report Tables'!AA$1,'DATA INPUT'!$A$3:$A$3000,"&gt;="&amp;DATE(2020,9,1),'DATA INPUT'!$A$3:$A$3000,"&lt;"&amp;DATE(2020,9,31))=0,#N/A,(SUMIFS('DATA INPUT'!$E$3:$E$3000,'DATA INPUT'!$B$3:$B$3000,'Report Tables'!AA$1,'DATA INPUT'!$A$3:$A$3000,"&gt;="&amp;DATE(2020,9,1),'DATA INPUT'!$A$3:$A$3000,"&lt;"&amp;DATE(2020,9,31)))),IF(SUMIFS('DATA INPUT'!$E$3:$E$3000,'DATA INPUT'!$B$3:$B$3000,'Report Tables'!AA$1,'DATA INPUT'!$A$3:$A$3000,"&gt;="&amp;DATE(2020,9,1),'DATA INPUT'!$A$3:$A$3000,"&lt;"&amp;DATE(2020,9,31),'DATA INPUT'!$F$3:$F$3000,"&lt;&gt;*Exclude*")=0,#N/A,(SUMIFS('DATA INPUT'!$E$3:$E$3000,'DATA INPUT'!$B$3:$B$3000,'Report Tables'!AA$1,'DATA INPUT'!$A$3:$A$3000,"&gt;="&amp;DATE(2020,9,1),'DATA INPUT'!$A$3:$A$3000,"&lt;"&amp;DATE(2020,9,31),'DATA INPUT'!$F$3:$F$3000,"&lt;&gt;*Exclude*"))))</f>
        <v>#N/A</v>
      </c>
      <c r="AB47" s="136" t="e">
        <f>IF($L$2="Yes",IF(SUMIFS('DATA INPUT'!$E$3:$E$3000,'DATA INPUT'!$B$3:$B$3000,'Report Tables'!AB$1,'DATA INPUT'!$A$3:$A$3000,"&gt;="&amp;DATE(2020,9,1),'DATA INPUT'!$A$3:$A$3000,"&lt;"&amp;DATE(2020,9,31))=0,#N/A,(SUMIFS('DATA INPUT'!$E$3:$E$3000,'DATA INPUT'!$B$3:$B$3000,'Report Tables'!AB$1,'DATA INPUT'!$A$3:$A$3000,"&gt;="&amp;DATE(2020,9,1),'DATA INPUT'!$A$3:$A$3000,"&lt;"&amp;DATE(2020,9,31)))),IF(SUMIFS('DATA INPUT'!$E$3:$E$3000,'DATA INPUT'!$B$3:$B$3000,'Report Tables'!AB$1,'DATA INPUT'!$A$3:$A$3000,"&gt;="&amp;DATE(2020,9,1),'DATA INPUT'!$A$3:$A$3000,"&lt;"&amp;DATE(2020,9,31),'DATA INPUT'!$F$3:$F$3000,"&lt;&gt;*Exclude*")=0,#N/A,(SUMIFS('DATA INPUT'!$E$3:$E$3000,'DATA INPUT'!$B$3:$B$3000,'Report Tables'!AB$1,'DATA INPUT'!$A$3:$A$3000,"&gt;="&amp;DATE(2020,9,1),'DATA INPUT'!$A$3:$A$3000,"&lt;"&amp;DATE(2020,9,31),'DATA INPUT'!$F$3:$F$3000,"&lt;&gt;*Exclude*"))))</f>
        <v>#N/A</v>
      </c>
      <c r="AC47" s="136" t="e">
        <f>IF($L$2="Yes",IF(SUMIFS('DATA INPUT'!$E$3:$E$3000,'DATA INPUT'!$B$3:$B$3000,'Report Tables'!AC$1,'DATA INPUT'!$A$3:$A$3000,"&gt;="&amp;DATE(2020,9,1),'DATA INPUT'!$A$3:$A$3000,"&lt;"&amp;DATE(2020,9,31))=0,#N/A,(SUMIFS('DATA INPUT'!$E$3:$E$3000,'DATA INPUT'!$B$3:$B$3000,'Report Tables'!AC$1,'DATA INPUT'!$A$3:$A$3000,"&gt;="&amp;DATE(2020,9,1),'DATA INPUT'!$A$3:$A$3000,"&lt;"&amp;DATE(2020,9,31)))),IF(SUMIFS('DATA INPUT'!$E$3:$E$3000,'DATA INPUT'!$B$3:$B$3000,'Report Tables'!AC$1,'DATA INPUT'!$A$3:$A$3000,"&gt;="&amp;DATE(2020,9,1),'DATA INPUT'!$A$3:$A$3000,"&lt;"&amp;DATE(2020,9,31),'DATA INPUT'!$F$3:$F$3000,"&lt;&gt;*Exclude*")=0,#N/A,(SUMIFS('DATA INPUT'!$E$3:$E$3000,'DATA INPUT'!$B$3:$B$3000,'Report Tables'!AC$1,'DATA INPUT'!$A$3:$A$3000,"&gt;="&amp;DATE(2020,9,1),'DATA INPUT'!$A$3:$A$3000,"&lt;"&amp;DATE(2020,9,31),'DATA INPUT'!$F$3:$F$3000,"&lt;&gt;*Exclude*"))))</f>
        <v>#N/A</v>
      </c>
      <c r="AD47" s="136" t="e">
        <f>IF($L$2="Yes",IF(SUMIFS('DATA INPUT'!$E$3:$E$3000,'DATA INPUT'!$B$3:$B$3000,'Report Tables'!AD$1,'DATA INPUT'!$A$3:$A$3000,"&gt;="&amp;DATE(2020,9,1),'DATA INPUT'!$A$3:$A$3000,"&lt;"&amp;DATE(2020,9,31))=0,#N/A,(SUMIFS('DATA INPUT'!$E$3:$E$3000,'DATA INPUT'!$B$3:$B$3000,'Report Tables'!AD$1,'DATA INPUT'!$A$3:$A$3000,"&gt;="&amp;DATE(2020,9,1),'DATA INPUT'!$A$3:$A$3000,"&lt;"&amp;DATE(2020,9,31)))),IF(SUMIFS('DATA INPUT'!$E$3:$E$3000,'DATA INPUT'!$B$3:$B$3000,'Report Tables'!AD$1,'DATA INPUT'!$A$3:$A$3000,"&gt;="&amp;DATE(2020,9,1),'DATA INPUT'!$A$3:$A$3000,"&lt;"&amp;DATE(2020,9,31),'DATA INPUT'!$F$3:$F$3000,"&lt;&gt;*Exclude*")=0,#N/A,(SUMIFS('DATA INPUT'!$E$3:$E$3000,'DATA INPUT'!$B$3:$B$3000,'Report Tables'!AD$1,'DATA INPUT'!$A$3:$A$3000,"&gt;="&amp;DATE(2020,9,1),'DATA INPUT'!$A$3:$A$3000,"&lt;"&amp;DATE(2020,9,31),'DATA INPUT'!$F$3:$F$3000,"&lt;&gt;*Exclude*"))))</f>
        <v>#N/A</v>
      </c>
      <c r="AE47" s="136" t="e">
        <f>IF($L$2="Yes",IF(SUMIFS('DATA INPUT'!$E$3:$E$3000,'DATA INPUT'!$B$3:$B$3000,'Report Tables'!AE$1,'DATA INPUT'!$A$3:$A$3000,"&gt;="&amp;DATE(2020,9,1),'DATA INPUT'!$A$3:$A$3000,"&lt;"&amp;DATE(2020,9,31))=0,#N/A,(SUMIFS('DATA INPUT'!$E$3:$E$3000,'DATA INPUT'!$B$3:$B$3000,'Report Tables'!AE$1,'DATA INPUT'!$A$3:$A$3000,"&gt;="&amp;DATE(2020,9,1),'DATA INPUT'!$A$3:$A$3000,"&lt;"&amp;DATE(2020,9,31)))),IF(SUMIFS('DATA INPUT'!$E$3:$E$3000,'DATA INPUT'!$B$3:$B$3000,'Report Tables'!AE$1,'DATA INPUT'!$A$3:$A$3000,"&gt;="&amp;DATE(2020,9,1),'DATA INPUT'!$A$3:$A$3000,"&lt;"&amp;DATE(2020,9,31),'DATA INPUT'!$F$3:$F$3000,"&lt;&gt;*Exclude*")=0,#N/A,(SUMIFS('DATA INPUT'!$E$3:$E$3000,'DATA INPUT'!$B$3:$B$3000,'Report Tables'!AE$1,'DATA INPUT'!$A$3:$A$3000,"&gt;="&amp;DATE(2020,9,1),'DATA INPUT'!$A$3:$A$3000,"&lt;"&amp;DATE(2020,9,31),'DATA INPUT'!$F$3:$F$3000,"&lt;&gt;*Exclude*"))))</f>
        <v>#N/A</v>
      </c>
      <c r="AF47" s="136" t="e">
        <f>IF($L$2="Yes",IF(SUMIFS('DATA INPUT'!$E$3:$E$3000,'DATA INPUT'!$B$3:$B$3000,'Report Tables'!AF$1,'DATA INPUT'!$A$3:$A$3000,"&gt;="&amp;DATE(2020,9,1),'DATA INPUT'!$A$3:$A$3000,"&lt;"&amp;DATE(2020,9,31))=0,#N/A,(SUMIFS('DATA INPUT'!$E$3:$E$3000,'DATA INPUT'!$B$3:$B$3000,'Report Tables'!AF$1,'DATA INPUT'!$A$3:$A$3000,"&gt;="&amp;DATE(2020,9,1),'DATA INPUT'!$A$3:$A$3000,"&lt;"&amp;DATE(2020,9,31)))),IF(SUMIFS('DATA INPUT'!$E$3:$E$3000,'DATA INPUT'!$B$3:$B$3000,'Report Tables'!AF$1,'DATA INPUT'!$A$3:$A$3000,"&gt;="&amp;DATE(2020,9,1),'DATA INPUT'!$A$3:$A$3000,"&lt;"&amp;DATE(2020,9,31),'DATA INPUT'!$F$3:$F$3000,"&lt;&gt;*Exclude*")=0,#N/A,(SUMIFS('DATA INPUT'!$E$3:$E$3000,'DATA INPUT'!$B$3:$B$3000,'Report Tables'!AF$1,'DATA INPUT'!$A$3:$A$3000,"&gt;="&amp;DATE(2020,9,1),'DATA INPUT'!$A$3:$A$3000,"&lt;"&amp;DATE(2020,9,31),'DATA INPUT'!$F$3:$F$3000,"&lt;&gt;*Exclude*"))))</f>
        <v>#N/A</v>
      </c>
      <c r="AG47" s="136" t="e">
        <f>IF($L$2="Yes",IF(SUMIFS('DATA INPUT'!$E$3:$E$3000,'DATA INPUT'!$B$3:$B$3000,'Report Tables'!AG$1,'DATA INPUT'!$A$3:$A$3000,"&gt;="&amp;DATE(2020,9,1),'DATA INPUT'!$A$3:$A$3000,"&lt;"&amp;DATE(2020,9,31))=0,#N/A,(SUMIFS('DATA INPUT'!$E$3:$E$3000,'DATA INPUT'!$B$3:$B$3000,'Report Tables'!AG$1,'DATA INPUT'!$A$3:$A$3000,"&gt;="&amp;DATE(2020,9,1),'DATA INPUT'!$A$3:$A$3000,"&lt;"&amp;DATE(2020,9,31)))),IF(SUMIFS('DATA INPUT'!$E$3:$E$3000,'DATA INPUT'!$B$3:$B$3000,'Report Tables'!AG$1,'DATA INPUT'!$A$3:$A$3000,"&gt;="&amp;DATE(2020,9,1),'DATA INPUT'!$A$3:$A$3000,"&lt;"&amp;DATE(2020,9,31),'DATA INPUT'!$F$3:$F$3000,"&lt;&gt;*Exclude*")=0,#N/A,(SUMIFS('DATA INPUT'!$E$3:$E$3000,'DATA INPUT'!$B$3:$B$3000,'Report Tables'!AG$1,'DATA INPUT'!$A$3:$A$3000,"&gt;="&amp;DATE(2020,9,1),'DATA INPUT'!$A$3:$A$3000,"&lt;"&amp;DATE(2020,9,31),'DATA INPUT'!$F$3:$F$3000,"&lt;&gt;*Exclude*"))))</f>
        <v>#N/A</v>
      </c>
      <c r="AH47" s="136" t="e">
        <f>IF($L$2="Yes",IF(SUMIFS('DATA INPUT'!$E$3:$E$3000,'DATA INPUT'!$B$3:$B$3000,'Report Tables'!AH$1,'DATA INPUT'!$A$3:$A$3000,"&gt;="&amp;DATE(2020,9,1),'DATA INPUT'!$A$3:$A$3000,"&lt;"&amp;DATE(2020,9,31))=0,#N/A,(SUMIFS('DATA INPUT'!$E$3:$E$3000,'DATA INPUT'!$B$3:$B$3000,'Report Tables'!AH$1,'DATA INPUT'!$A$3:$A$3000,"&gt;="&amp;DATE(2020,9,1),'DATA INPUT'!$A$3:$A$3000,"&lt;"&amp;DATE(2020,9,31)))),IF(SUMIFS('DATA INPUT'!$E$3:$E$3000,'DATA INPUT'!$B$3:$B$3000,'Report Tables'!AH$1,'DATA INPUT'!$A$3:$A$3000,"&gt;="&amp;DATE(2020,9,1),'DATA INPUT'!$A$3:$A$3000,"&lt;"&amp;DATE(2020,9,31),'DATA INPUT'!$F$3:$F$3000,"&lt;&gt;*Exclude*")=0,#N/A,(SUMIFS('DATA INPUT'!$E$3:$E$3000,'DATA INPUT'!$B$3:$B$3000,'Report Tables'!AH$1,'DATA INPUT'!$A$3:$A$3000,"&gt;="&amp;DATE(2020,9,1),'DATA INPUT'!$A$3:$A$3000,"&lt;"&amp;DATE(2020,9,31),'DATA INPUT'!$F$3:$F$3000,"&lt;&gt;*Exclude*"))))</f>
        <v>#N/A</v>
      </c>
      <c r="AI47" s="136" t="e">
        <f t="shared" si="0"/>
        <v>#N/A</v>
      </c>
      <c r="AJ47" s="136" t="e">
        <f>IF($L$2="Yes",IF(SUMIFS('DATA INPUT'!$D$3:$D$3000,'DATA INPUT'!$A$3:$A$3000,"&gt;="&amp;DATE(2020,9,1),'DATA INPUT'!$A$3:$A$3000,"&lt;"&amp;DATE(2020,9,31),'DATA INPUT'!$G$3:$G$3000,"&lt;&gt;*School service*")=0,#N/A,(SUMIFS('DATA INPUT'!$D$3:$D$3000,'DATA INPUT'!$A$3:$A$3000,"&gt;="&amp;DATE(2020,9,1),'DATA INPUT'!$A$3:$A$3000,"&lt;"&amp;DATE(2020,9,31),'DATA INPUT'!$G$3:$G$3000,"&lt;&gt;*School service*"))),IF(SUMIFS('DATA INPUT'!$D$3:$D$3000,'DATA INPUT'!$A$3:$A$3000,"&gt;="&amp;DATE(2020,9,1),'DATA INPUT'!$A$3:$A$3000,"&lt;"&amp;DATE(2020,9,31),'DATA INPUT'!$F$3:$F$3000,"&lt;&gt;*Exclude*",'DATA INPUT'!$G$3:$G$3000,"&lt;&gt;*School service*")=0,#N/A,(SUMIFS('DATA INPUT'!$D$3:$D$3000,'DATA INPUT'!$A$3:$A$3000,"&gt;="&amp;DATE(2020,9,1),'DATA INPUT'!$A$3:$A$3000,"&lt;"&amp;DATE(2020,9,31),'DATA INPUT'!$F$3:$F$3000,"&lt;&gt;*Exclude*",'DATA INPUT'!$G$3:$G$3000,"&lt;&gt;*School service*"))))</f>
        <v>#N/A</v>
      </c>
      <c r="AK47" s="136" t="e">
        <f>AI47-AJ47</f>
        <v>#N/A</v>
      </c>
      <c r="AM47" s="117" t="e">
        <f>IF($L$2="Yes",IFERROR((SUMIFS('DATA INPUT'!$E$3:$E$3000,'DATA INPUT'!$B$3:$B$3000,'Report Tables'!AM$1,'DATA INPUT'!$A$3:$A$3000,"&gt;="&amp;DATE(2020,9,1),'DATA INPUT'!$A$3:$A$3000,"&lt;"&amp;DATE(2020,9,31)))/COUNTIFS('DATA INPUT'!$B$3:$B$3000,'Report Tables'!AM$1,'DATA INPUT'!$A$3:$A$3000,"&gt;="&amp;DATE(2020,9,1),'DATA INPUT'!$A$3:$A$3000,"&lt;"&amp;DATE(2020,9,31)),#N/A),IFERROR((SUMIFS('DATA INPUT'!$E$3:$E$3000,'DATA INPUT'!$B$3:$B$3000,'Report Tables'!AM$1,'DATA INPUT'!$A$3:$A$3000,"&gt;="&amp;DATE(2020,9,1),'DATA INPUT'!$A$3:$A$3000,"&lt;"&amp;DATE(2020,9,31),'DATA INPUT'!$F$3:$F$3000,"&lt;&gt;*Exclude*"))/(COUNTIFS('DATA INPUT'!$B$3:$B$3000,'Report Tables'!AM$1,'DATA INPUT'!$A$3:$A$3000,"&gt;="&amp;DATE(2020,9,1),'DATA INPUT'!$A$3:$A$3000,"&lt;"&amp;DATE(2020,9,31),'DATA INPUT'!$F$3:$F$3000,"&lt;&gt;*Exclude*")),#N/A))</f>
        <v>#N/A</v>
      </c>
      <c r="AN47" s="117" t="e">
        <f>IF($L$2="Yes",IFERROR((SUMIFS('DATA INPUT'!$E$3:$E$3000,'DATA INPUT'!$B$3:$B$3000,'Report Tables'!AN$1,'DATA INPUT'!$A$3:$A$3000,"&gt;="&amp;DATE(2020,9,1),'DATA INPUT'!$A$3:$A$3000,"&lt;"&amp;DATE(2020,9,31)))/COUNTIFS('DATA INPUT'!$B$3:$B$3000,'Report Tables'!AN$1,'DATA INPUT'!$A$3:$A$3000,"&gt;="&amp;DATE(2020,9,1),'DATA INPUT'!$A$3:$A$3000,"&lt;"&amp;DATE(2020,9,31)),#N/A),IFERROR((SUMIFS('DATA INPUT'!$E$3:$E$3000,'DATA INPUT'!$B$3:$B$3000,'Report Tables'!AN$1,'DATA INPUT'!$A$3:$A$3000,"&gt;="&amp;DATE(2020,9,1),'DATA INPUT'!$A$3:$A$3000,"&lt;"&amp;DATE(2020,9,31),'DATA INPUT'!$F$3:$F$3000,"&lt;&gt;*Exclude*"))/(COUNTIFS('DATA INPUT'!$B$3:$B$3000,'Report Tables'!AN$1,'DATA INPUT'!$A$3:$A$3000,"&gt;="&amp;DATE(2020,9,1),'DATA INPUT'!$A$3:$A$3000,"&lt;"&amp;DATE(2020,9,31),'DATA INPUT'!$F$3:$F$3000,"&lt;&gt;*Exclude*")),#N/A))</f>
        <v>#N/A</v>
      </c>
      <c r="AO47" s="117" t="e">
        <f>IF($L$2="Yes",IFERROR((SUMIFS('DATA INPUT'!$E$3:$E$3000,'DATA INPUT'!$B$3:$B$3000,'Report Tables'!AO$1,'DATA INPUT'!$A$3:$A$3000,"&gt;="&amp;DATE(2020,9,1),'DATA INPUT'!$A$3:$A$3000,"&lt;"&amp;DATE(2020,9,31)))/COUNTIFS('DATA INPUT'!$B$3:$B$3000,'Report Tables'!AO$1,'DATA INPUT'!$A$3:$A$3000,"&gt;="&amp;DATE(2020,9,1),'DATA INPUT'!$A$3:$A$3000,"&lt;"&amp;DATE(2020,9,31)),#N/A),IFERROR((SUMIFS('DATA INPUT'!$E$3:$E$3000,'DATA INPUT'!$B$3:$B$3000,'Report Tables'!AO$1,'DATA INPUT'!$A$3:$A$3000,"&gt;="&amp;DATE(2020,9,1),'DATA INPUT'!$A$3:$A$3000,"&lt;"&amp;DATE(2020,9,31),'DATA INPUT'!$F$3:$F$3000,"&lt;&gt;*Exclude*"))/(COUNTIFS('DATA INPUT'!$B$3:$B$3000,'Report Tables'!AO$1,'DATA INPUT'!$A$3:$A$3000,"&gt;="&amp;DATE(2020,9,1),'DATA INPUT'!$A$3:$A$3000,"&lt;"&amp;DATE(2020,9,31),'DATA INPUT'!$F$3:$F$3000,"&lt;&gt;*Exclude*")),#N/A))</f>
        <v>#N/A</v>
      </c>
      <c r="AP47" s="117" t="e">
        <f>IF($L$2="Yes",IFERROR((SUMIFS('DATA INPUT'!$E$3:$E$3000,'DATA INPUT'!$B$3:$B$3000,'Report Tables'!AP$1,'DATA INPUT'!$A$3:$A$3000,"&gt;="&amp;DATE(2020,9,1),'DATA INPUT'!$A$3:$A$3000,"&lt;"&amp;DATE(2020,9,31)))/COUNTIFS('DATA INPUT'!$B$3:$B$3000,'Report Tables'!AP$1,'DATA INPUT'!$A$3:$A$3000,"&gt;="&amp;DATE(2020,9,1),'DATA INPUT'!$A$3:$A$3000,"&lt;"&amp;DATE(2020,9,31)),#N/A),IFERROR((SUMIFS('DATA INPUT'!$E$3:$E$3000,'DATA INPUT'!$B$3:$B$3000,'Report Tables'!AP$1,'DATA INPUT'!$A$3:$A$3000,"&gt;="&amp;DATE(2020,9,1),'DATA INPUT'!$A$3:$A$3000,"&lt;"&amp;DATE(2020,9,31),'DATA INPUT'!$F$3:$F$3000,"&lt;&gt;*Exclude*"))/(COUNTIFS('DATA INPUT'!$B$3:$B$3000,'Report Tables'!AP$1,'DATA INPUT'!$A$3:$A$3000,"&gt;="&amp;DATE(2020,9,1),'DATA INPUT'!$A$3:$A$3000,"&lt;"&amp;DATE(2020,9,31),'DATA INPUT'!$F$3:$F$3000,"&lt;&gt;*Exclude*")),#N/A))</f>
        <v>#N/A</v>
      </c>
      <c r="AQ47" s="117" t="e">
        <f>IF($L$2="Yes",IFERROR((SUMIFS('DATA INPUT'!$E$3:$E$3000,'DATA INPUT'!$B$3:$B$3000,'Report Tables'!AQ$1,'DATA INPUT'!$A$3:$A$3000,"&gt;="&amp;DATE(2020,9,1),'DATA INPUT'!$A$3:$A$3000,"&lt;"&amp;DATE(2020,9,31)))/COUNTIFS('DATA INPUT'!$B$3:$B$3000,'Report Tables'!AQ$1,'DATA INPUT'!$A$3:$A$3000,"&gt;="&amp;DATE(2020,9,1),'DATA INPUT'!$A$3:$A$3000,"&lt;"&amp;DATE(2020,9,31)),#N/A),IFERROR((SUMIFS('DATA INPUT'!$E$3:$E$3000,'DATA INPUT'!$B$3:$B$3000,'Report Tables'!AQ$1,'DATA INPUT'!$A$3:$A$3000,"&gt;="&amp;DATE(2020,9,1),'DATA INPUT'!$A$3:$A$3000,"&lt;"&amp;DATE(2020,9,31),'DATA INPUT'!$F$3:$F$3000,"&lt;&gt;*Exclude*"))/(COUNTIFS('DATA INPUT'!$B$3:$B$3000,'Report Tables'!AQ$1,'DATA INPUT'!$A$3:$A$3000,"&gt;="&amp;DATE(2020,9,1),'DATA INPUT'!$A$3:$A$3000,"&lt;"&amp;DATE(2020,9,31),'DATA INPUT'!$F$3:$F$3000,"&lt;&gt;*Exclude*")),#N/A))</f>
        <v>#N/A</v>
      </c>
      <c r="AR47" s="117" t="e">
        <f>IF($L$2="Yes",IFERROR((SUMIFS('DATA INPUT'!$E$3:$E$3000,'DATA INPUT'!$B$3:$B$3000,'Report Tables'!AR$1,'DATA INPUT'!$A$3:$A$3000,"&gt;="&amp;DATE(2020,9,1),'DATA INPUT'!$A$3:$A$3000,"&lt;"&amp;DATE(2020,9,31)))/COUNTIFS('DATA INPUT'!$B$3:$B$3000,'Report Tables'!AR$1,'DATA INPUT'!$A$3:$A$3000,"&gt;="&amp;DATE(2020,9,1),'DATA INPUT'!$A$3:$A$3000,"&lt;"&amp;DATE(2020,9,31)),#N/A),IFERROR((SUMIFS('DATA INPUT'!$E$3:$E$3000,'DATA INPUT'!$B$3:$B$3000,'Report Tables'!AR$1,'DATA INPUT'!$A$3:$A$3000,"&gt;="&amp;DATE(2020,9,1),'DATA INPUT'!$A$3:$A$3000,"&lt;"&amp;DATE(2020,9,31),'DATA INPUT'!$F$3:$F$3000,"&lt;&gt;*Exclude*"))/(COUNTIFS('DATA INPUT'!$B$3:$B$3000,'Report Tables'!AR$1,'DATA INPUT'!$A$3:$A$3000,"&gt;="&amp;DATE(2020,9,1),'DATA INPUT'!$A$3:$A$3000,"&lt;"&amp;DATE(2020,9,31),'DATA INPUT'!$F$3:$F$3000,"&lt;&gt;*Exclude*")),#N/A))</f>
        <v>#N/A</v>
      </c>
      <c r="AS47" s="117" t="e">
        <f>IF($L$2="Yes",IFERROR((SUMIFS('DATA INPUT'!$E$3:$E$3000,'DATA INPUT'!$B$3:$B$3000,'Report Tables'!AS$1,'DATA INPUT'!$A$3:$A$3000,"&gt;="&amp;DATE(2020,9,1),'DATA INPUT'!$A$3:$A$3000,"&lt;"&amp;DATE(2020,9,31)))/COUNTIFS('DATA INPUT'!$B$3:$B$3000,'Report Tables'!AS$1,'DATA INPUT'!$A$3:$A$3000,"&gt;="&amp;DATE(2020,9,1),'DATA INPUT'!$A$3:$A$3000,"&lt;"&amp;DATE(2020,9,31)),#N/A),IFERROR((SUMIFS('DATA INPUT'!$E$3:$E$3000,'DATA INPUT'!$B$3:$B$3000,'Report Tables'!AS$1,'DATA INPUT'!$A$3:$A$3000,"&gt;="&amp;DATE(2020,9,1),'DATA INPUT'!$A$3:$A$3000,"&lt;"&amp;DATE(2020,9,31),'DATA INPUT'!$F$3:$F$3000,"&lt;&gt;*Exclude*"))/(COUNTIFS('DATA INPUT'!$B$3:$B$3000,'Report Tables'!AS$1,'DATA INPUT'!$A$3:$A$3000,"&gt;="&amp;DATE(2020,9,1),'DATA INPUT'!$A$3:$A$3000,"&lt;"&amp;DATE(2020,9,31),'DATA INPUT'!$F$3:$F$3000,"&lt;&gt;*Exclude*")),#N/A))</f>
        <v>#N/A</v>
      </c>
      <c r="AT47" s="117" t="e">
        <f>IF($L$2="Yes",IFERROR((SUMIFS('DATA INPUT'!$E$3:$E$3000,'DATA INPUT'!$B$3:$B$3000,'Report Tables'!AT$1,'DATA INPUT'!$A$3:$A$3000,"&gt;="&amp;DATE(2020,9,1),'DATA INPUT'!$A$3:$A$3000,"&lt;"&amp;DATE(2020,9,31)))/COUNTIFS('DATA INPUT'!$B$3:$B$3000,'Report Tables'!AT$1,'DATA INPUT'!$A$3:$A$3000,"&gt;="&amp;DATE(2020,9,1),'DATA INPUT'!$A$3:$A$3000,"&lt;"&amp;DATE(2020,9,31)),#N/A),IFERROR((SUMIFS('DATA INPUT'!$E$3:$E$3000,'DATA INPUT'!$B$3:$B$3000,'Report Tables'!AT$1,'DATA INPUT'!$A$3:$A$3000,"&gt;="&amp;DATE(2020,9,1),'DATA INPUT'!$A$3:$A$3000,"&lt;"&amp;DATE(2020,9,31),'DATA INPUT'!$F$3:$F$3000,"&lt;&gt;*Exclude*"))/(COUNTIFS('DATA INPUT'!$B$3:$B$3000,'Report Tables'!AT$1,'DATA INPUT'!$A$3:$A$3000,"&gt;="&amp;DATE(2020,9,1),'DATA INPUT'!$A$3:$A$3000,"&lt;"&amp;DATE(2020,9,31),'DATA INPUT'!$F$3:$F$3000,"&lt;&gt;*Exclude*")),#N/A))</f>
        <v>#N/A</v>
      </c>
      <c r="AU47" s="117" t="e">
        <f t="shared" si="1"/>
        <v>#N/A</v>
      </c>
      <c r="AV47" s="117" t="e">
        <f>IF($L$2="Yes",IFERROR((SUMIFS('DATA INPUT'!$D$3:$D$3000,'DATA INPUT'!$A$3:$A$3000,"&gt;="&amp;DATE(2020,9,1),'DATA INPUT'!$A$3:$A$3000,"&lt;"&amp;DATE(2020,9,31),'DATA INPUT'!$G$3:$G$3000,"&lt;&gt;*School service*"))/COUNTIFS('DATA INPUT'!$A$3:$A$3000,"&gt;="&amp;DATE(2020,9,1),'DATA INPUT'!$A$3:$A$3000,"&lt;"&amp;DATE(2020,9,31),'DATA INPUT'!$G$3:$G$3000,"&lt;&gt;*School service*",'DATA INPUT'!$D$3:$D$3000,"&lt;&gt;"&amp;""),#N/A),IFERROR((SUMIFS('DATA INPUT'!$D$3:$D$3000,'DATA INPUT'!$A$3:$A$3000,"&gt;="&amp;DATE(2020,9,1),'DATA INPUT'!$A$3:$A$3000,"&lt;"&amp;DATE(2020,9,31),'DATA INPUT'!$F$3:$F$3000,"&lt;&gt;*Exclude*",'DATA INPUT'!$G$3:$G$3000,"&lt;&gt;*School service*"))/(COUNTIFS('DATA INPUT'!$A$3:$A$3000,"&gt;="&amp;DATE(2020,9,1),'DATA INPUT'!$A$3:$A$3000,"&lt;"&amp;DATE(2020,9,31),'DATA INPUT'!$F$3:$F$3000,"&lt;&gt;*Exclude*",'DATA INPUT'!$G$3:$G$3000,"&lt;&gt;*School service*",'DATA INPUT'!$D$3:$D$3000,"&lt;&gt;"&amp;"")),#N/A))</f>
        <v>#N/A</v>
      </c>
      <c r="AW47" s="117" t="e">
        <f t="shared" si="2"/>
        <v>#N/A</v>
      </c>
      <c r="AX47" s="117" t="e">
        <f>IF($L$2="Yes",IFERROR((SUMIFS('DATA INPUT'!$E$3:$E$3000,'DATA INPUT'!$B$3:$B$3000,'Report Tables'!AX$1,'DATA INPUT'!$A$3:$A$3000,"&gt;="&amp;DATE(2020,9,1),'DATA INPUT'!$A$3:$A$3000,"&lt;"&amp;DATE(2020,9,31)))/COUNTIFS('DATA INPUT'!$B$3:$B$3000,'Report Tables'!AX$1,'DATA INPUT'!$A$3:$A$3000,"&gt;="&amp;DATE(2020,9,1),'DATA INPUT'!$A$3:$A$3000,"&lt;"&amp;DATE(2020,9,31)),#N/A),IFERROR((SUMIFS('DATA INPUT'!$E$3:$E$3000,'DATA INPUT'!$B$3:$B$3000,'Report Tables'!AX$1,'DATA INPUT'!$A$3:$A$3000,"&gt;="&amp;DATE(2020,9,1),'DATA INPUT'!$A$3:$A$3000,"&lt;"&amp;DATE(2020,9,31),'DATA INPUT'!$F$3:$F$3000,"&lt;&gt;*Exclude*"))/(COUNTIFS('DATA INPUT'!$B$3:$B$3000,'Report Tables'!AX$1,'DATA INPUT'!$A$3:$A$3000,"&gt;="&amp;DATE(2020,9,1),'DATA INPUT'!$A$3:$A$3000,"&lt;"&amp;DATE(2020,9,31),'DATA INPUT'!$F$3:$F$3000,"&lt;&gt;*Exclude*")),#N/A))</f>
        <v>#N/A</v>
      </c>
      <c r="AY47" s="117" t="e">
        <f>IF($L$2="Yes",IFERROR((SUMIFS('DATA INPUT'!$D$3:$D$3000,'DATA INPUT'!$B$3:$B$3000,'Report Tables'!AX$1,'DATA INPUT'!$A$3:$A$3000,"&gt;="&amp;DATE(2020,9,1),'DATA INPUT'!$A$3:$A$3000,"&lt;"&amp;DATE(2020,9,31)))/COUNTIFS('DATA INPUT'!$B$3:$B$3000,'Report Tables'!AX$1,'DATA INPUT'!$A$3:$A$3000,"&gt;="&amp;DATE(2020,9,1),'DATA INPUT'!$A$3:$A$3000,"&lt;"&amp;DATE(2020,9,31)),#N/A),IFERROR((SUMIFS('DATA INPUT'!$D$3:$D$3000,'DATA INPUT'!$B$3:$B$3000,'Report Tables'!AX$1,'DATA INPUT'!$A$3:$A$3000,"&gt;="&amp;DATE(2020,9,1),'DATA INPUT'!$A$3:$A$3000,"&lt;"&amp;DATE(2020,9,31),'DATA INPUT'!$F$3:$F$3000,"&lt;&gt;*Exclude*"))/(COUNTIFS('DATA INPUT'!$B$3:$B$3000,'Report Tables'!AX$1,'DATA INPUT'!$A$3:$A$3000,"&gt;="&amp;DATE(2020,9,1),'DATA INPUT'!$A$3:$A$3000,"&lt;"&amp;DATE(2020,9,31),'DATA INPUT'!$F$3:$F$3000,"&lt;&gt;*Exclude*")),#N/A))</f>
        <v>#N/A</v>
      </c>
      <c r="AZ47" s="117" t="e">
        <f>IF($L$2="Yes",IFERROR((SUMIFS('DATA INPUT'!$C$3:$C$3000,'DATA INPUT'!$B$3:$B$3000,'Report Tables'!AX$1,'DATA INPUT'!$A$3:$A$3000,"&gt;="&amp;DATE(2020,9,1),'DATA INPUT'!$A$3:$A$3000,"&lt;"&amp;DATE(2020,9,31)))/COUNTIFS('DATA INPUT'!$B$3:$B$3000,'Report Tables'!AX$1,'DATA INPUT'!$A$3:$A$3000,"&gt;="&amp;DATE(2020,9,1),'DATA INPUT'!$A$3:$A$3000,"&lt;"&amp;DATE(2020,9,31)),#N/A),IFERROR((SUMIFS('DATA INPUT'!$C$3:$C$3000,'DATA INPUT'!$B$3:$B$3000,'Report Tables'!AX$1,'DATA INPUT'!$A$3:$A$3000,"&gt;="&amp;DATE(2020,9,1),'DATA INPUT'!$A$3:$A$3000,"&lt;"&amp;DATE(2020,9,31),'DATA INPUT'!$F$3:$F$3000,"&lt;&gt;*Exclude*"))/(COUNTIFS('DATA INPUT'!$B$3:$B$3000,'Report Tables'!AX$1,'DATA INPUT'!$A$3:$A$3000,"&gt;="&amp;DATE(2020,9,1),'DATA INPUT'!$A$3:$A$3000,"&lt;"&amp;DATE(2020,9,31),'DATA INPUT'!$F$3:$F$3000,"&lt;&gt;*Exclude*")),#N/A))</f>
        <v>#N/A</v>
      </c>
    </row>
    <row r="48" spans="1:52" ht="15" thickBot="1" x14ac:dyDescent="0.35">
      <c r="A48" s="95" t="e">
        <f>VLOOKUP(B48,Information!$C$8:$F$15,4,FALSE)</f>
        <v>#N/A</v>
      </c>
      <c r="B48" s="53">
        <f>$B$12</f>
        <v>0</v>
      </c>
      <c r="C48" s="58" t="e">
        <f>IF($L$2="Yes",(SUMIFS('DATA INPUT'!$C$3:$C$3000,'DATA INPUT'!$A$3:$A$3000,"&gt;="&amp;DATE(2017,1,1),'DATA INPUT'!$A$3:$A$3000,"&lt;="&amp;DATE(2017,12,31),'DATA INPUT'!$B$3:$B$3000,$B48))/(COUNTIFS('DATA INPUT'!$A$3:$A$3000,"&gt;="&amp;DATE(2017,1,1),'DATA INPUT'!$A$3:$A$3000,"&lt;="&amp;DATE(2017,12,31),'DATA INPUT'!$B$3:$B$3000,$B48)),(SUMIFS('DATA INPUT'!$C$3:$C$3000,'DATA INPUT'!$A$3:$A$3000,"&gt;="&amp;DATE(2017,1,1),'DATA INPUT'!$A$3:$A$3000,"&lt;="&amp;DATE(2017,12,31),'DATA INPUT'!$B$3:$B$3000,$B48,'DATA INPUT'!$F$3:$F$3000,"&lt;&gt;*Exclude*"))/(COUNTIFS('DATA INPUT'!$A$3:$A$3000,"&gt;="&amp;DATE(2017,1,1),'DATA INPUT'!$A$3:$A$3000,"&lt;="&amp;DATE(2017,12,31),'DATA INPUT'!$B$3:$B$3000,$B48,'DATA INPUT'!$F$3:$F$3000,"&lt;&gt;*Exclude*")))</f>
        <v>#DIV/0!</v>
      </c>
      <c r="D48" s="58" t="e">
        <f>IF($L$2="Yes",(SUMIFS('DATA INPUT'!$C$3:$C$3000,'DATA INPUT'!$A$3:$A$3000,"&gt;="&amp;DATE(2018,1,1),'DATA INPUT'!$A$3:$A$3000,"&lt;="&amp;DATE(2018,12,31),'DATA INPUT'!$B$3:$B$3000,$B48))/(COUNTIFS('DATA INPUT'!$A$3:$A$3000,"&gt;="&amp;DATE(2018,1,1),'DATA INPUT'!$A$3:$A$3000,"&lt;="&amp;DATE(2018,12,31),'DATA INPUT'!$B$3:$B$3000,$B48)),(SUMIFS('DATA INPUT'!$C$3:$C$3000,'DATA INPUT'!$A$3:$A$3000,"&gt;="&amp;DATE(2018,1,1),'DATA INPUT'!$A$3:$A$3000,"&lt;="&amp;DATE(2018,12,31),'DATA INPUT'!$B$3:$B$3000,$B48,'DATA INPUT'!$F$3:$F$3000,"&lt;&gt;*Exclude*"))/(COUNTIFS('DATA INPUT'!$A$3:$A$3000,"&gt;="&amp;DATE(2018,1,1),'DATA INPUT'!$A$3:$A$3000,"&lt;="&amp;DATE(2018,12,31),'DATA INPUT'!$B$3:$B$3000,$B48,'DATA INPUT'!$F$3:$F$3000,"&lt;&gt;*Exclude*")))</f>
        <v>#DIV/0!</v>
      </c>
      <c r="E48" s="58" t="e">
        <f>IF($L$2="Yes",(SUMIFS('DATA INPUT'!$C$3:$C$3000,'DATA INPUT'!$A$3:$A$3000,"&gt;="&amp;DATE(2019,1,1),'DATA INPUT'!$A$3:$A$3000,"&lt;="&amp;DATE(2019,12,31),'DATA INPUT'!$B$3:$B$3000,$B48))/(COUNTIFS('DATA INPUT'!$A$3:$A$3000,"&gt;="&amp;DATE(2019,1,1),'DATA INPUT'!$A$3:$A$3000,"&lt;="&amp;DATE(2019,12,31),'DATA INPUT'!$B$3:$B$3000,$B48)),(SUMIFS('DATA INPUT'!$C$3:$C$3000,'DATA INPUT'!$A$3:$A$3000,"&gt;="&amp;DATE(2019,1,1),'DATA INPUT'!$A$3:$A$3000,"&lt;="&amp;DATE(2019,12,31),'DATA INPUT'!$B$3:$B$3000,$B48,'DATA INPUT'!$F$3:$F$3000,"&lt;&gt;*Exclude*"))/(COUNTIFS('DATA INPUT'!$A$3:$A$3000,"&gt;="&amp;DATE(2019,1,1),'DATA INPUT'!$A$3:$A$3000,"&lt;="&amp;DATE(2019,12,31),'DATA INPUT'!$B$3:$B$3000,$B48,'DATA INPUT'!$F$3:$F$3000,"&lt;&gt;*Exclude*")))</f>
        <v>#DIV/0!</v>
      </c>
      <c r="F48" s="58" t="e">
        <f>IF($L$2="Yes",(SUMIFS('DATA INPUT'!$C$3:$C$3000,'DATA INPUT'!$A$3:$A$3000,"&gt;="&amp;DATE(2020,1,1),'DATA INPUT'!$A$3:$A$3000,"&lt;="&amp;DATE(2020,12,31),'DATA INPUT'!$B$3:$B$3000,$B48))/(COUNTIFS('DATA INPUT'!$A$3:$A$3000,"&gt;="&amp;DATE(2020,1,1),'DATA INPUT'!$A$3:$A$3000,"&lt;="&amp;DATE(2020,12,31),'DATA INPUT'!$B$3:$B$3000,$B48)),(SUMIFS('DATA INPUT'!$C$3:$C$3000,'DATA INPUT'!$A$3:$A$3000,"&gt;="&amp;DATE(2020,1,1),'DATA INPUT'!$A$3:$A$3000,"&lt;="&amp;DATE(2020,12,31),'DATA INPUT'!$B$3:$B$3000,$B48,'DATA INPUT'!$F$3:$F$3000,"&lt;&gt;*Exclude*"))/(COUNTIFS('DATA INPUT'!$A$3:$A$3000,"&gt;="&amp;DATE(2020,1,1),'DATA INPUT'!$A$3:$A$3000,"&lt;="&amp;DATE(2020,12,31),'DATA INPUT'!$B$3:$B$3000,$B48,'DATA INPUT'!$F$3:$F$3000,"&lt;&gt;*Exclude*")))</f>
        <v>#DIV/0!</v>
      </c>
      <c r="G48" s="58" t="e">
        <f>IF($L$2="Yes",(SUMIFS('DATA INPUT'!$C$3:$C$3000,'DATA INPUT'!$A$3:$A$3000,"&gt;="&amp;DATE(2021,1,1),'DATA INPUT'!$A$3:$A$3000,"&lt;="&amp;DATE(2021,12,31),'DATA INPUT'!$B$3:$B$3000,$B48))/(COUNTIFS('DATA INPUT'!$A$3:$A$3000,"&gt;="&amp;DATE(2021,1,1),'DATA INPUT'!$A$3:$A$3000,"&lt;="&amp;DATE(2021,12,31),'DATA INPUT'!$B$3:$B$3000,$B48)),(SUMIFS('DATA INPUT'!$C$3:$C$3000,'DATA INPUT'!$A$3:$A$3000,"&gt;="&amp;DATE(2021,1,1),'DATA INPUT'!$A$3:$A$3000,"&lt;="&amp;DATE(2021,12,31),'DATA INPUT'!$B$3:$B$3000,$B48,'DATA INPUT'!$F$3:$F$3000,"&lt;&gt;*Exclude*"))/(COUNTIFS('DATA INPUT'!$A$3:$A$3000,"&gt;="&amp;DATE(2021,1,1),'DATA INPUT'!$A$3:$A$3000,"&lt;="&amp;DATE(2021,12,31),'DATA INPUT'!$B$3:$B$3000,$B48,'DATA INPUT'!$F$3:$F$3000,"&lt;&gt;*Exclude*")))</f>
        <v>#DIV/0!</v>
      </c>
      <c r="H48" s="58" t="e">
        <f>IF($L$2="Yes",(SUMIFS('DATA INPUT'!$C$3:$C$3000,'DATA INPUT'!$A$3:$A$3000,"&gt;="&amp;DATE(2022,1,1),'DATA INPUT'!$A$3:$A$3000,"&lt;="&amp;DATE(2022,12,31),'DATA INPUT'!$B$3:$B$3000,$B48))/(COUNTIFS('DATA INPUT'!$A$3:$A$3000,"&gt;="&amp;DATE(2022,1,1),'DATA INPUT'!$A$3:$A$3000,"&lt;="&amp;DATE(2022,12,31),'DATA INPUT'!$B$3:$B$3000,$B48)),(SUMIFS('DATA INPUT'!$C$3:$C$3000,'DATA INPUT'!$A$3:$A$3000,"&gt;="&amp;DATE(2022,1,1),'DATA INPUT'!$A$3:$A$3000,"&lt;="&amp;DATE(2022,12,31),'DATA INPUT'!$B$3:$B$3000,$B48,'DATA INPUT'!$F$3:$F$3000,"&lt;&gt;*Exclude*"))/(COUNTIFS('DATA INPUT'!$A$3:$A$3000,"&gt;="&amp;DATE(2022,1,1),'DATA INPUT'!$A$3:$A$3000,"&lt;="&amp;DATE(2022,12,31),'DATA INPUT'!$B$3:$B$3000,$B48,'DATA INPUT'!$F$3:$F$3000,"&lt;&gt;*Exclude*")))</f>
        <v>#DIV/0!</v>
      </c>
      <c r="I48" s="58" t="e">
        <f>IF($L$2="Yes",(SUMIFS('DATA INPUT'!$C$3:$C$3000,'DATA INPUT'!$A$3:$A$3000,"&gt;="&amp;DATE(2023,1,1),'DATA INPUT'!$A$3:$A$3000,"&lt;="&amp;DATE(2023,12,31),'DATA INPUT'!$B$3:$B$3000,$B48))/(COUNTIFS('DATA INPUT'!$A$3:$A$3000,"&gt;="&amp;DATE(2023,1,1),'DATA INPUT'!$A$3:$A$3000,"&lt;="&amp;DATE(2023,12,31),'DATA INPUT'!$B$3:$B$3000,$B48)),(SUMIFS('DATA INPUT'!$C$3:$C$3000,'DATA INPUT'!$A$3:$A$3000,"&gt;="&amp;DATE(2023,1,1),'DATA INPUT'!$A$3:$A$3000,"&lt;="&amp;DATE(2023,12,31),'DATA INPUT'!$B$3:$B$3000,$B48,'DATA INPUT'!$F$3:$F$3000,"&lt;&gt;*Exclude*"))/(COUNTIFS('DATA INPUT'!$A$3:$A$3000,"&gt;="&amp;DATE(2023,1,1),'DATA INPUT'!$A$3:$A$3000,"&lt;="&amp;DATE(2023,12,31),'DATA INPUT'!$B$3:$B$3000,$B48,'DATA INPUT'!$F$3:$F$3000,"&lt;&gt;*Exclude*")))</f>
        <v>#DIV/0!</v>
      </c>
      <c r="J48" s="58" t="e">
        <f>IF($L$2="Yes",(SUMIFS('DATA INPUT'!$C$3:$C$3000,'DATA INPUT'!$A$3:$A$3000,"&gt;="&amp;DATE(2024,1,1),'DATA INPUT'!$A$3:$A$3000,"&lt;="&amp;DATE(2024,12,31),'DATA INPUT'!$B$3:$B$3000,$B48))/(COUNTIFS('DATA INPUT'!$A$3:$A$3000,"&gt;="&amp;DATE(2024,1,1),'DATA INPUT'!$A$3:$A$3000,"&lt;="&amp;DATE(2024,12,31),'DATA INPUT'!$B$3:$B$3000,$B48)),(SUMIFS('DATA INPUT'!$C$3:$C$3000,'DATA INPUT'!$A$3:$A$3000,"&gt;="&amp;DATE(2024,1,1),'DATA INPUT'!$A$3:$A$3000,"&lt;="&amp;DATE(2024,12,31),'DATA INPUT'!$B$3:$B$3000,$B48,'DATA INPUT'!$F$3:$F$3000,"&lt;&gt;*Exclude*"))/(COUNTIFS('DATA INPUT'!$A$3:$A$3000,"&gt;="&amp;DATE(2024,1,1),'DATA INPUT'!$A$3:$A$3000,"&lt;="&amp;DATE(2024,12,31),'DATA INPUT'!$B$3:$B$3000,$B48,'DATA INPUT'!$F$3:$F$3000,"&lt;&gt;*Exclude*")))</f>
        <v>#DIV/0!</v>
      </c>
      <c r="K48" s="58" t="e">
        <f>IF($L$2="Yes",(SUMIFS('DATA INPUT'!$C$3:$C$3000,'DATA INPUT'!$A$3:$A$3000,"&gt;="&amp;DATE(2025,1,1),'DATA INPUT'!$A$3:$A$3000,"&lt;="&amp;DATE(2025,12,31),'DATA INPUT'!$B$3:$B$3000,$B48))/(COUNTIFS('DATA INPUT'!$A$3:$A$3000,"&gt;="&amp;DATE(2025,1,1),'DATA INPUT'!$A$3:$A$3000,"&lt;="&amp;DATE(2025,12,31),'DATA INPUT'!$B$3:$B$3000,$B48)),(SUMIFS('DATA INPUT'!$C$3:$C$3000,'DATA INPUT'!$A$3:$A$3000,"&gt;="&amp;DATE(2025,1,1),'DATA INPUT'!$A$3:$A$3000,"&lt;="&amp;DATE(2025,12,31),'DATA INPUT'!$B$3:$B$3000,$B48,'DATA INPUT'!$F$3:$F$3000,"&lt;&gt;*Exclude*"))/(COUNTIFS('DATA INPUT'!$A$3:$A$3000,"&gt;="&amp;DATE(2025,1,1),'DATA INPUT'!$A$3:$A$3000,"&lt;="&amp;DATE(2025,12,31),'DATA INPUT'!$B$3:$B$3000,$B48,'DATA INPUT'!$F$3:$F$3000,"&lt;&gt;*Exclude*")))</f>
        <v>#DIV/0!</v>
      </c>
      <c r="L48" s="73" t="str">
        <f t="shared" si="17"/>
        <v/>
      </c>
      <c r="Y48" s="149"/>
      <c r="Z48" s="149" t="s">
        <v>21</v>
      </c>
      <c r="AA48" s="136" t="e">
        <f>IF($L$2="Yes",IF(SUMIFS('DATA INPUT'!$E$3:$E$3000,'DATA INPUT'!$B$3:$B$3000,'Report Tables'!AA$1,'DATA INPUT'!$A$3:$A$3000,"&gt;="&amp;DATE(2020,10,1),'DATA INPUT'!$A$3:$A$3000,"&lt;"&amp;DATE(2020,10,31))=0,#N/A,(SUMIFS('DATA INPUT'!$E$3:$E$3000,'DATA INPUT'!$B$3:$B$3000,'Report Tables'!AA$1,'DATA INPUT'!$A$3:$A$3000,"&gt;="&amp;DATE(2020,10,1),'DATA INPUT'!$A$3:$A$3000,"&lt;"&amp;DATE(2020,10,31)))),IF(SUMIFS('DATA INPUT'!$E$3:$E$3000,'DATA INPUT'!$B$3:$B$3000,'Report Tables'!AA$1,'DATA INPUT'!$A$3:$A$3000,"&gt;="&amp;DATE(2020,10,1),'DATA INPUT'!$A$3:$A$3000,"&lt;"&amp;DATE(2020,10,31),'DATA INPUT'!$F$3:$F$3000,"&lt;&gt;*Exclude*")=0,#N/A,(SUMIFS('DATA INPUT'!$E$3:$E$3000,'DATA INPUT'!$B$3:$B$3000,'Report Tables'!AA$1,'DATA INPUT'!$A$3:$A$3000,"&gt;="&amp;DATE(2020,10,1),'DATA INPUT'!$A$3:$A$3000,"&lt;"&amp;DATE(2020,10,31),'DATA INPUT'!$F$3:$F$3000,"&lt;&gt;*Exclude*"))))</f>
        <v>#N/A</v>
      </c>
      <c r="AB48" s="136" t="e">
        <f>IF($L$2="Yes",IF(SUMIFS('DATA INPUT'!$E$3:$E$3000,'DATA INPUT'!$B$3:$B$3000,'Report Tables'!AB$1,'DATA INPUT'!$A$3:$A$3000,"&gt;="&amp;DATE(2020,10,1),'DATA INPUT'!$A$3:$A$3000,"&lt;"&amp;DATE(2020,10,31))=0,#N/A,(SUMIFS('DATA INPUT'!$E$3:$E$3000,'DATA INPUT'!$B$3:$B$3000,'Report Tables'!AB$1,'DATA INPUT'!$A$3:$A$3000,"&gt;="&amp;DATE(2020,10,1),'DATA INPUT'!$A$3:$A$3000,"&lt;"&amp;DATE(2020,10,31)))),IF(SUMIFS('DATA INPUT'!$E$3:$E$3000,'DATA INPUT'!$B$3:$B$3000,'Report Tables'!AB$1,'DATA INPUT'!$A$3:$A$3000,"&gt;="&amp;DATE(2020,10,1),'DATA INPUT'!$A$3:$A$3000,"&lt;"&amp;DATE(2020,10,31),'DATA INPUT'!$F$3:$F$3000,"&lt;&gt;*Exclude*")=0,#N/A,(SUMIFS('DATA INPUT'!$E$3:$E$3000,'DATA INPUT'!$B$3:$B$3000,'Report Tables'!AB$1,'DATA INPUT'!$A$3:$A$3000,"&gt;="&amp;DATE(2020,10,1),'DATA INPUT'!$A$3:$A$3000,"&lt;"&amp;DATE(2020,10,31),'DATA INPUT'!$F$3:$F$3000,"&lt;&gt;*Exclude*"))))</f>
        <v>#N/A</v>
      </c>
      <c r="AC48" s="136" t="e">
        <f>IF($L$2="Yes",IF(SUMIFS('DATA INPUT'!$E$3:$E$3000,'DATA INPUT'!$B$3:$B$3000,'Report Tables'!AC$1,'DATA INPUT'!$A$3:$A$3000,"&gt;="&amp;DATE(2020,10,1),'DATA INPUT'!$A$3:$A$3000,"&lt;"&amp;DATE(2020,10,31))=0,#N/A,(SUMIFS('DATA INPUT'!$E$3:$E$3000,'DATA INPUT'!$B$3:$B$3000,'Report Tables'!AC$1,'DATA INPUT'!$A$3:$A$3000,"&gt;="&amp;DATE(2020,10,1),'DATA INPUT'!$A$3:$A$3000,"&lt;"&amp;DATE(2020,10,31)))),IF(SUMIFS('DATA INPUT'!$E$3:$E$3000,'DATA INPUT'!$B$3:$B$3000,'Report Tables'!AC$1,'DATA INPUT'!$A$3:$A$3000,"&gt;="&amp;DATE(2020,10,1),'DATA INPUT'!$A$3:$A$3000,"&lt;"&amp;DATE(2020,10,31),'DATA INPUT'!$F$3:$F$3000,"&lt;&gt;*Exclude*")=0,#N/A,(SUMIFS('DATA INPUT'!$E$3:$E$3000,'DATA INPUT'!$B$3:$B$3000,'Report Tables'!AC$1,'DATA INPUT'!$A$3:$A$3000,"&gt;="&amp;DATE(2020,10,1),'DATA INPUT'!$A$3:$A$3000,"&lt;"&amp;DATE(2020,10,31),'DATA INPUT'!$F$3:$F$3000,"&lt;&gt;*Exclude*"))))</f>
        <v>#N/A</v>
      </c>
      <c r="AD48" s="136" t="e">
        <f>IF($L$2="Yes",IF(SUMIFS('DATA INPUT'!$E$3:$E$3000,'DATA INPUT'!$B$3:$B$3000,'Report Tables'!AD$1,'DATA INPUT'!$A$3:$A$3000,"&gt;="&amp;DATE(2020,10,1),'DATA INPUT'!$A$3:$A$3000,"&lt;"&amp;DATE(2020,10,31))=0,#N/A,(SUMIFS('DATA INPUT'!$E$3:$E$3000,'DATA INPUT'!$B$3:$B$3000,'Report Tables'!AD$1,'DATA INPUT'!$A$3:$A$3000,"&gt;="&amp;DATE(2020,10,1),'DATA INPUT'!$A$3:$A$3000,"&lt;"&amp;DATE(2020,10,31)))),IF(SUMIFS('DATA INPUT'!$E$3:$E$3000,'DATA INPUT'!$B$3:$B$3000,'Report Tables'!AD$1,'DATA INPUT'!$A$3:$A$3000,"&gt;="&amp;DATE(2020,10,1),'DATA INPUT'!$A$3:$A$3000,"&lt;"&amp;DATE(2020,10,31),'DATA INPUT'!$F$3:$F$3000,"&lt;&gt;*Exclude*")=0,#N/A,(SUMIFS('DATA INPUT'!$E$3:$E$3000,'DATA INPUT'!$B$3:$B$3000,'Report Tables'!AD$1,'DATA INPUT'!$A$3:$A$3000,"&gt;="&amp;DATE(2020,10,1),'DATA INPUT'!$A$3:$A$3000,"&lt;"&amp;DATE(2020,10,31),'DATA INPUT'!$F$3:$F$3000,"&lt;&gt;*Exclude*"))))</f>
        <v>#N/A</v>
      </c>
      <c r="AE48" s="136" t="e">
        <f>IF($L$2="Yes",IF(SUMIFS('DATA INPUT'!$E$3:$E$3000,'DATA INPUT'!$B$3:$B$3000,'Report Tables'!AE$1,'DATA INPUT'!$A$3:$A$3000,"&gt;="&amp;DATE(2020,10,1),'DATA INPUT'!$A$3:$A$3000,"&lt;"&amp;DATE(2020,10,31))=0,#N/A,(SUMIFS('DATA INPUT'!$E$3:$E$3000,'DATA INPUT'!$B$3:$B$3000,'Report Tables'!AE$1,'DATA INPUT'!$A$3:$A$3000,"&gt;="&amp;DATE(2020,10,1),'DATA INPUT'!$A$3:$A$3000,"&lt;"&amp;DATE(2020,10,31)))),IF(SUMIFS('DATA INPUT'!$E$3:$E$3000,'DATA INPUT'!$B$3:$B$3000,'Report Tables'!AE$1,'DATA INPUT'!$A$3:$A$3000,"&gt;="&amp;DATE(2020,10,1),'DATA INPUT'!$A$3:$A$3000,"&lt;"&amp;DATE(2020,10,31),'DATA INPUT'!$F$3:$F$3000,"&lt;&gt;*Exclude*")=0,#N/A,(SUMIFS('DATA INPUT'!$E$3:$E$3000,'DATA INPUT'!$B$3:$B$3000,'Report Tables'!AE$1,'DATA INPUT'!$A$3:$A$3000,"&gt;="&amp;DATE(2020,10,1),'DATA INPUT'!$A$3:$A$3000,"&lt;"&amp;DATE(2020,10,31),'DATA INPUT'!$F$3:$F$3000,"&lt;&gt;*Exclude*"))))</f>
        <v>#N/A</v>
      </c>
      <c r="AF48" s="136" t="e">
        <f>IF($L$2="Yes",IF(SUMIFS('DATA INPUT'!$E$3:$E$3000,'DATA INPUT'!$B$3:$B$3000,'Report Tables'!AF$1,'DATA INPUT'!$A$3:$A$3000,"&gt;="&amp;DATE(2020,10,1),'DATA INPUT'!$A$3:$A$3000,"&lt;"&amp;DATE(2020,10,31))=0,#N/A,(SUMIFS('DATA INPUT'!$E$3:$E$3000,'DATA INPUT'!$B$3:$B$3000,'Report Tables'!AF$1,'DATA INPUT'!$A$3:$A$3000,"&gt;="&amp;DATE(2020,10,1),'DATA INPUT'!$A$3:$A$3000,"&lt;"&amp;DATE(2020,10,31)))),IF(SUMIFS('DATA INPUT'!$E$3:$E$3000,'DATA INPUT'!$B$3:$B$3000,'Report Tables'!AF$1,'DATA INPUT'!$A$3:$A$3000,"&gt;="&amp;DATE(2020,10,1),'DATA INPUT'!$A$3:$A$3000,"&lt;"&amp;DATE(2020,10,31),'DATA INPUT'!$F$3:$F$3000,"&lt;&gt;*Exclude*")=0,#N/A,(SUMIFS('DATA INPUT'!$E$3:$E$3000,'DATA INPUT'!$B$3:$B$3000,'Report Tables'!AF$1,'DATA INPUT'!$A$3:$A$3000,"&gt;="&amp;DATE(2020,10,1),'DATA INPUT'!$A$3:$A$3000,"&lt;"&amp;DATE(2020,10,31),'DATA INPUT'!$F$3:$F$3000,"&lt;&gt;*Exclude*"))))</f>
        <v>#N/A</v>
      </c>
      <c r="AG48" s="136" t="e">
        <f>IF($L$2="Yes",IF(SUMIFS('DATA INPUT'!$E$3:$E$3000,'DATA INPUT'!$B$3:$B$3000,'Report Tables'!AG$1,'DATA INPUT'!$A$3:$A$3000,"&gt;="&amp;DATE(2020,10,1),'DATA INPUT'!$A$3:$A$3000,"&lt;"&amp;DATE(2020,10,31))=0,#N/A,(SUMIFS('DATA INPUT'!$E$3:$E$3000,'DATA INPUT'!$B$3:$B$3000,'Report Tables'!AG$1,'DATA INPUT'!$A$3:$A$3000,"&gt;="&amp;DATE(2020,10,1),'DATA INPUT'!$A$3:$A$3000,"&lt;"&amp;DATE(2020,10,31)))),IF(SUMIFS('DATA INPUT'!$E$3:$E$3000,'DATA INPUT'!$B$3:$B$3000,'Report Tables'!AG$1,'DATA INPUT'!$A$3:$A$3000,"&gt;="&amp;DATE(2020,10,1),'DATA INPUT'!$A$3:$A$3000,"&lt;"&amp;DATE(2020,10,31),'DATA INPUT'!$F$3:$F$3000,"&lt;&gt;*Exclude*")=0,#N/A,(SUMIFS('DATA INPUT'!$E$3:$E$3000,'DATA INPUT'!$B$3:$B$3000,'Report Tables'!AG$1,'DATA INPUT'!$A$3:$A$3000,"&gt;="&amp;DATE(2020,10,1),'DATA INPUT'!$A$3:$A$3000,"&lt;"&amp;DATE(2020,10,31),'DATA INPUT'!$F$3:$F$3000,"&lt;&gt;*Exclude*"))))</f>
        <v>#N/A</v>
      </c>
      <c r="AH48" s="136" t="e">
        <f>IF($L$2="Yes",IF(SUMIFS('DATA INPUT'!$E$3:$E$3000,'DATA INPUT'!$B$3:$B$3000,'Report Tables'!AH$1,'DATA INPUT'!$A$3:$A$3000,"&gt;="&amp;DATE(2020,10,1),'DATA INPUT'!$A$3:$A$3000,"&lt;"&amp;DATE(2020,10,31))=0,#N/A,(SUMIFS('DATA INPUT'!$E$3:$E$3000,'DATA INPUT'!$B$3:$B$3000,'Report Tables'!AH$1,'DATA INPUT'!$A$3:$A$3000,"&gt;="&amp;DATE(2020,10,1),'DATA INPUT'!$A$3:$A$3000,"&lt;"&amp;DATE(2020,10,31)))),IF(SUMIFS('DATA INPUT'!$E$3:$E$3000,'DATA INPUT'!$B$3:$B$3000,'Report Tables'!AH$1,'DATA INPUT'!$A$3:$A$3000,"&gt;="&amp;DATE(2020,10,1),'DATA INPUT'!$A$3:$A$3000,"&lt;"&amp;DATE(2020,10,31),'DATA INPUT'!$F$3:$F$3000,"&lt;&gt;*Exclude*")=0,#N/A,(SUMIFS('DATA INPUT'!$E$3:$E$3000,'DATA INPUT'!$B$3:$B$3000,'Report Tables'!AH$1,'DATA INPUT'!$A$3:$A$3000,"&gt;="&amp;DATE(2020,10,1),'DATA INPUT'!$A$3:$A$3000,"&lt;"&amp;DATE(2020,10,31),'DATA INPUT'!$F$3:$F$3000,"&lt;&gt;*Exclude*"))))</f>
        <v>#N/A</v>
      </c>
      <c r="AI48" s="136" t="e">
        <f t="shared" si="0"/>
        <v>#N/A</v>
      </c>
      <c r="AJ48" s="136" t="e">
        <f>IF($L$2="Yes",IF(SUMIFS('DATA INPUT'!$D$3:$D$3000,'DATA INPUT'!$A$3:$A$3000,"&gt;="&amp;DATE(2020,10,1),'DATA INPUT'!$A$3:$A$3000,"&lt;"&amp;DATE(2020,10,31),'DATA INPUT'!$G$3:$G$3000,"&lt;&gt;*School service*")=0,#N/A,(SUMIFS('DATA INPUT'!$D$3:$D$3000,'DATA INPUT'!$A$3:$A$3000,"&gt;="&amp;DATE(2020,10,1),'DATA INPUT'!$A$3:$A$3000,"&lt;"&amp;DATE(2020,10,31),'DATA INPUT'!$G$3:$G$3000,"&lt;&gt;*School service*"))),IF(SUMIFS('DATA INPUT'!$D$3:$D$3000,'DATA INPUT'!$A$3:$A$3000,"&gt;="&amp;DATE(2020,10,1),'DATA INPUT'!$A$3:$A$3000,"&lt;"&amp;DATE(2020,10,31),'DATA INPUT'!$F$3:$F$3000,"&lt;&gt;*Exclude*",'DATA INPUT'!$G$3:$G$3000,"&lt;&gt;*School service*")=0,#N/A,(SUMIFS('DATA INPUT'!$D$3:$D$3000,'DATA INPUT'!$A$3:$A$3000,"&gt;="&amp;DATE(2020,10,1),'DATA INPUT'!$A$3:$A$3000,"&lt;"&amp;DATE(2020,10,31),'DATA INPUT'!$F$3:$F$3000,"&lt;&gt;*Exclude*",'DATA INPUT'!$G$3:$G$3000,"&lt;&gt;*School service*"))))</f>
        <v>#N/A</v>
      </c>
      <c r="AK48" s="136" t="e">
        <f>AI48-AJ48</f>
        <v>#N/A</v>
      </c>
      <c r="AM48" s="117" t="e">
        <f>IF($L$2="Yes",IFERROR((SUMIFS('DATA INPUT'!$E$3:$E$3000,'DATA INPUT'!$B$3:$B$3000,'Report Tables'!AM$1,'DATA INPUT'!$A$3:$A$3000,"&gt;="&amp;DATE(2020,10,1),'DATA INPUT'!$A$3:$A$3000,"&lt;"&amp;DATE(2020,10,31)))/COUNTIFS('DATA INPUT'!$B$3:$B$3000,'Report Tables'!AM$1,'DATA INPUT'!$A$3:$A$3000,"&gt;="&amp;DATE(2020,10,1),'DATA INPUT'!$A$3:$A$3000,"&lt;"&amp;DATE(2020,10,31)),#N/A),IFERROR((SUMIFS('DATA INPUT'!$E$3:$E$3000,'DATA INPUT'!$B$3:$B$3000,'Report Tables'!AM$1,'DATA INPUT'!$A$3:$A$3000,"&gt;="&amp;DATE(2020,10,1),'DATA INPUT'!$A$3:$A$3000,"&lt;"&amp;DATE(2020,10,31),'DATA INPUT'!$F$3:$F$3000,"&lt;&gt;*Exclude*"))/(COUNTIFS('DATA INPUT'!$B$3:$B$3000,'Report Tables'!AM$1,'DATA INPUT'!$A$3:$A$3000,"&gt;="&amp;DATE(2020,10,1),'DATA INPUT'!$A$3:$A$3000,"&lt;"&amp;DATE(2020,10,31),'DATA INPUT'!$F$3:$F$3000,"&lt;&gt;*Exclude*")),#N/A))</f>
        <v>#N/A</v>
      </c>
      <c r="AN48" s="117" t="e">
        <f>IF($L$2="Yes",IFERROR((SUMIFS('DATA INPUT'!$E$3:$E$3000,'DATA INPUT'!$B$3:$B$3000,'Report Tables'!AN$1,'DATA INPUT'!$A$3:$A$3000,"&gt;="&amp;DATE(2020,10,1),'DATA INPUT'!$A$3:$A$3000,"&lt;"&amp;DATE(2020,10,31)))/COUNTIFS('DATA INPUT'!$B$3:$B$3000,'Report Tables'!AN$1,'DATA INPUT'!$A$3:$A$3000,"&gt;="&amp;DATE(2020,10,1),'DATA INPUT'!$A$3:$A$3000,"&lt;"&amp;DATE(2020,10,31)),#N/A),IFERROR((SUMIFS('DATA INPUT'!$E$3:$E$3000,'DATA INPUT'!$B$3:$B$3000,'Report Tables'!AN$1,'DATA INPUT'!$A$3:$A$3000,"&gt;="&amp;DATE(2020,10,1),'DATA INPUT'!$A$3:$A$3000,"&lt;"&amp;DATE(2020,10,31),'DATA INPUT'!$F$3:$F$3000,"&lt;&gt;*Exclude*"))/(COUNTIFS('DATA INPUT'!$B$3:$B$3000,'Report Tables'!AN$1,'DATA INPUT'!$A$3:$A$3000,"&gt;="&amp;DATE(2020,10,1),'DATA INPUT'!$A$3:$A$3000,"&lt;"&amp;DATE(2020,10,31),'DATA INPUT'!$F$3:$F$3000,"&lt;&gt;*Exclude*")),#N/A))</f>
        <v>#N/A</v>
      </c>
      <c r="AO48" s="117" t="e">
        <f>IF($L$2="Yes",IFERROR((SUMIFS('DATA INPUT'!$E$3:$E$3000,'DATA INPUT'!$B$3:$B$3000,'Report Tables'!AO$1,'DATA INPUT'!$A$3:$A$3000,"&gt;="&amp;DATE(2020,10,1),'DATA INPUT'!$A$3:$A$3000,"&lt;"&amp;DATE(2020,10,31)))/COUNTIFS('DATA INPUT'!$B$3:$B$3000,'Report Tables'!AO$1,'DATA INPUT'!$A$3:$A$3000,"&gt;="&amp;DATE(2020,10,1),'DATA INPUT'!$A$3:$A$3000,"&lt;"&amp;DATE(2020,10,31)),#N/A),IFERROR((SUMIFS('DATA INPUT'!$E$3:$E$3000,'DATA INPUT'!$B$3:$B$3000,'Report Tables'!AO$1,'DATA INPUT'!$A$3:$A$3000,"&gt;="&amp;DATE(2020,10,1),'DATA INPUT'!$A$3:$A$3000,"&lt;"&amp;DATE(2020,10,31),'DATA INPUT'!$F$3:$F$3000,"&lt;&gt;*Exclude*"))/(COUNTIFS('DATA INPUT'!$B$3:$B$3000,'Report Tables'!AO$1,'DATA INPUT'!$A$3:$A$3000,"&gt;="&amp;DATE(2020,10,1),'DATA INPUT'!$A$3:$A$3000,"&lt;"&amp;DATE(2020,10,31),'DATA INPUT'!$F$3:$F$3000,"&lt;&gt;*Exclude*")),#N/A))</f>
        <v>#N/A</v>
      </c>
      <c r="AP48" s="117" t="e">
        <f>IF($L$2="Yes",IFERROR((SUMIFS('DATA INPUT'!$E$3:$E$3000,'DATA INPUT'!$B$3:$B$3000,'Report Tables'!AP$1,'DATA INPUT'!$A$3:$A$3000,"&gt;="&amp;DATE(2020,10,1),'DATA INPUT'!$A$3:$A$3000,"&lt;"&amp;DATE(2020,10,31)))/COUNTIFS('DATA INPUT'!$B$3:$B$3000,'Report Tables'!AP$1,'DATA INPUT'!$A$3:$A$3000,"&gt;="&amp;DATE(2020,10,1),'DATA INPUT'!$A$3:$A$3000,"&lt;"&amp;DATE(2020,10,31)),#N/A),IFERROR((SUMIFS('DATA INPUT'!$E$3:$E$3000,'DATA INPUT'!$B$3:$B$3000,'Report Tables'!AP$1,'DATA INPUT'!$A$3:$A$3000,"&gt;="&amp;DATE(2020,10,1),'DATA INPUT'!$A$3:$A$3000,"&lt;"&amp;DATE(2020,10,31),'DATA INPUT'!$F$3:$F$3000,"&lt;&gt;*Exclude*"))/(COUNTIFS('DATA INPUT'!$B$3:$B$3000,'Report Tables'!AP$1,'DATA INPUT'!$A$3:$A$3000,"&gt;="&amp;DATE(2020,10,1),'DATA INPUT'!$A$3:$A$3000,"&lt;"&amp;DATE(2020,10,31),'DATA INPUT'!$F$3:$F$3000,"&lt;&gt;*Exclude*")),#N/A))</f>
        <v>#N/A</v>
      </c>
      <c r="AQ48" s="117" t="e">
        <f>IF($L$2="Yes",IFERROR((SUMIFS('DATA INPUT'!$E$3:$E$3000,'DATA INPUT'!$B$3:$B$3000,'Report Tables'!AQ$1,'DATA INPUT'!$A$3:$A$3000,"&gt;="&amp;DATE(2020,10,1),'DATA INPUT'!$A$3:$A$3000,"&lt;"&amp;DATE(2020,10,31)))/COUNTIFS('DATA INPUT'!$B$3:$B$3000,'Report Tables'!AQ$1,'DATA INPUT'!$A$3:$A$3000,"&gt;="&amp;DATE(2020,10,1),'DATA INPUT'!$A$3:$A$3000,"&lt;"&amp;DATE(2020,10,31)),#N/A),IFERROR((SUMIFS('DATA INPUT'!$E$3:$E$3000,'DATA INPUT'!$B$3:$B$3000,'Report Tables'!AQ$1,'DATA INPUT'!$A$3:$A$3000,"&gt;="&amp;DATE(2020,10,1),'DATA INPUT'!$A$3:$A$3000,"&lt;"&amp;DATE(2020,10,31),'DATA INPUT'!$F$3:$F$3000,"&lt;&gt;*Exclude*"))/(COUNTIFS('DATA INPUT'!$B$3:$B$3000,'Report Tables'!AQ$1,'DATA INPUT'!$A$3:$A$3000,"&gt;="&amp;DATE(2020,10,1),'DATA INPUT'!$A$3:$A$3000,"&lt;"&amp;DATE(2020,10,31),'DATA INPUT'!$F$3:$F$3000,"&lt;&gt;*Exclude*")),#N/A))</f>
        <v>#N/A</v>
      </c>
      <c r="AR48" s="117" t="e">
        <f>IF($L$2="Yes",IFERROR((SUMIFS('DATA INPUT'!$E$3:$E$3000,'DATA INPUT'!$B$3:$B$3000,'Report Tables'!AR$1,'DATA INPUT'!$A$3:$A$3000,"&gt;="&amp;DATE(2020,10,1),'DATA INPUT'!$A$3:$A$3000,"&lt;"&amp;DATE(2020,10,31)))/COUNTIFS('DATA INPUT'!$B$3:$B$3000,'Report Tables'!AR$1,'DATA INPUT'!$A$3:$A$3000,"&gt;="&amp;DATE(2020,10,1),'DATA INPUT'!$A$3:$A$3000,"&lt;"&amp;DATE(2020,10,31)),#N/A),IFERROR((SUMIFS('DATA INPUT'!$E$3:$E$3000,'DATA INPUT'!$B$3:$B$3000,'Report Tables'!AR$1,'DATA INPUT'!$A$3:$A$3000,"&gt;="&amp;DATE(2020,10,1),'DATA INPUT'!$A$3:$A$3000,"&lt;"&amp;DATE(2020,10,31),'DATA INPUT'!$F$3:$F$3000,"&lt;&gt;*Exclude*"))/(COUNTIFS('DATA INPUT'!$B$3:$B$3000,'Report Tables'!AR$1,'DATA INPUT'!$A$3:$A$3000,"&gt;="&amp;DATE(2020,10,1),'DATA INPUT'!$A$3:$A$3000,"&lt;"&amp;DATE(2020,10,31),'DATA INPUT'!$F$3:$F$3000,"&lt;&gt;*Exclude*")),#N/A))</f>
        <v>#N/A</v>
      </c>
      <c r="AS48" s="117" t="e">
        <f>IF($L$2="Yes",IFERROR((SUMIFS('DATA INPUT'!$E$3:$E$3000,'DATA INPUT'!$B$3:$B$3000,'Report Tables'!AS$1,'DATA INPUT'!$A$3:$A$3000,"&gt;="&amp;DATE(2020,10,1),'DATA INPUT'!$A$3:$A$3000,"&lt;"&amp;DATE(2020,10,31)))/COUNTIFS('DATA INPUT'!$B$3:$B$3000,'Report Tables'!AS$1,'DATA INPUT'!$A$3:$A$3000,"&gt;="&amp;DATE(2020,10,1),'DATA INPUT'!$A$3:$A$3000,"&lt;"&amp;DATE(2020,10,31)),#N/A),IFERROR((SUMIFS('DATA INPUT'!$E$3:$E$3000,'DATA INPUT'!$B$3:$B$3000,'Report Tables'!AS$1,'DATA INPUT'!$A$3:$A$3000,"&gt;="&amp;DATE(2020,10,1),'DATA INPUT'!$A$3:$A$3000,"&lt;"&amp;DATE(2020,10,31),'DATA INPUT'!$F$3:$F$3000,"&lt;&gt;*Exclude*"))/(COUNTIFS('DATA INPUT'!$B$3:$B$3000,'Report Tables'!AS$1,'DATA INPUT'!$A$3:$A$3000,"&gt;="&amp;DATE(2020,10,1),'DATA INPUT'!$A$3:$A$3000,"&lt;"&amp;DATE(2020,10,31),'DATA INPUT'!$F$3:$F$3000,"&lt;&gt;*Exclude*")),#N/A))</f>
        <v>#N/A</v>
      </c>
      <c r="AT48" s="117" t="e">
        <f>IF($L$2="Yes",IFERROR((SUMIFS('DATA INPUT'!$E$3:$E$3000,'DATA INPUT'!$B$3:$B$3000,'Report Tables'!AT$1,'DATA INPUT'!$A$3:$A$3000,"&gt;="&amp;DATE(2020,10,1),'DATA INPUT'!$A$3:$A$3000,"&lt;"&amp;DATE(2020,10,31)))/COUNTIFS('DATA INPUT'!$B$3:$B$3000,'Report Tables'!AT$1,'DATA INPUT'!$A$3:$A$3000,"&gt;="&amp;DATE(2020,10,1),'DATA INPUT'!$A$3:$A$3000,"&lt;"&amp;DATE(2020,10,31)),#N/A),IFERROR((SUMIFS('DATA INPUT'!$E$3:$E$3000,'DATA INPUT'!$B$3:$B$3000,'Report Tables'!AT$1,'DATA INPUT'!$A$3:$A$3000,"&gt;="&amp;DATE(2020,10,1),'DATA INPUT'!$A$3:$A$3000,"&lt;"&amp;DATE(2020,10,31),'DATA INPUT'!$F$3:$F$3000,"&lt;&gt;*Exclude*"))/(COUNTIFS('DATA INPUT'!$B$3:$B$3000,'Report Tables'!AT$1,'DATA INPUT'!$A$3:$A$3000,"&gt;="&amp;DATE(2020,10,1),'DATA INPUT'!$A$3:$A$3000,"&lt;"&amp;DATE(2020,10,31),'DATA INPUT'!$F$3:$F$3000,"&lt;&gt;*Exclude*")),#N/A))</f>
        <v>#N/A</v>
      </c>
      <c r="AU48" s="117" t="e">
        <f t="shared" si="1"/>
        <v>#N/A</v>
      </c>
      <c r="AV48" s="117" t="e">
        <f>IF($L$2="Yes",IFERROR((SUMIFS('DATA INPUT'!$D$3:$D$3000,'DATA INPUT'!$A$3:$A$3000,"&gt;="&amp;DATE(2020,10,1),'DATA INPUT'!$A$3:$A$3000,"&lt;"&amp;DATE(2020,10,31),'DATA INPUT'!$G$3:$G$3000,"&lt;&gt;*School service*"))/COUNTIFS('DATA INPUT'!$A$3:$A$3000,"&gt;="&amp;DATE(2020,10,1),'DATA INPUT'!$A$3:$A$3000,"&lt;"&amp;DATE(2020,10,31),'DATA INPUT'!$G$3:$G$3000,"&lt;&gt;*School service*",'DATA INPUT'!$D$3:$D$3000,"&lt;&gt;"&amp;""),#N/A),IFERROR((SUMIFS('DATA INPUT'!$D$3:$D$3000,'DATA INPUT'!$A$3:$A$3000,"&gt;="&amp;DATE(2020,10,1),'DATA INPUT'!$A$3:$A$3000,"&lt;"&amp;DATE(2020,10,31),'DATA INPUT'!$F$3:$F$3000,"&lt;&gt;*Exclude*",'DATA INPUT'!$G$3:$G$3000,"&lt;&gt;*School service*"))/(COUNTIFS('DATA INPUT'!$A$3:$A$3000,"&gt;="&amp;DATE(2020,10,1),'DATA INPUT'!$A$3:$A$3000,"&lt;"&amp;DATE(2020,10,31),'DATA INPUT'!$F$3:$F$3000,"&lt;&gt;*Exclude*",'DATA INPUT'!$G$3:$G$3000,"&lt;&gt;*School service*",'DATA INPUT'!$D$3:$D$3000,"&lt;&gt;"&amp;"")),#N/A))</f>
        <v>#N/A</v>
      </c>
      <c r="AW48" s="117" t="e">
        <f t="shared" si="2"/>
        <v>#N/A</v>
      </c>
      <c r="AX48" s="117" t="e">
        <f>IF($L$2="Yes",IFERROR((SUMIFS('DATA INPUT'!$E$3:$E$3000,'DATA INPUT'!$B$3:$B$3000,'Report Tables'!AX$1,'DATA INPUT'!$A$3:$A$3000,"&gt;="&amp;DATE(2020,10,1),'DATA INPUT'!$A$3:$A$3000,"&lt;"&amp;DATE(2020,10,31)))/COUNTIFS('DATA INPUT'!$B$3:$B$3000,'Report Tables'!AX$1,'DATA INPUT'!$A$3:$A$3000,"&gt;="&amp;DATE(2020,10,1),'DATA INPUT'!$A$3:$A$3000,"&lt;"&amp;DATE(2020,10,31)),#N/A),IFERROR((SUMIFS('DATA INPUT'!$E$3:$E$3000,'DATA INPUT'!$B$3:$B$3000,'Report Tables'!AX$1,'DATA INPUT'!$A$3:$A$3000,"&gt;="&amp;DATE(2020,10,1),'DATA INPUT'!$A$3:$A$3000,"&lt;"&amp;DATE(2020,10,31),'DATA INPUT'!$F$3:$F$3000,"&lt;&gt;*Exclude*"))/(COUNTIFS('DATA INPUT'!$B$3:$B$3000,'Report Tables'!AX$1,'DATA INPUT'!$A$3:$A$3000,"&gt;="&amp;DATE(2020,10,1),'DATA INPUT'!$A$3:$A$3000,"&lt;"&amp;DATE(2020,10,31),'DATA INPUT'!$F$3:$F$3000,"&lt;&gt;*Exclude*")),#N/A))</f>
        <v>#N/A</v>
      </c>
      <c r="AY48" s="117" t="e">
        <f>IF($L$2="Yes",IFERROR((SUMIFS('DATA INPUT'!$D$3:$D$3000,'DATA INPUT'!$B$3:$B$3000,'Report Tables'!AX$1,'DATA INPUT'!$A$3:$A$3000,"&gt;="&amp;DATE(2020,10,1),'DATA INPUT'!$A$3:$A$3000,"&lt;"&amp;DATE(2020,10,31)))/COUNTIFS('DATA INPUT'!$B$3:$B$3000,'Report Tables'!AX$1,'DATA INPUT'!$A$3:$A$3000,"&gt;="&amp;DATE(2020,10,1),'DATA INPUT'!$A$3:$A$3000,"&lt;"&amp;DATE(2020,10,31)),#N/A),IFERROR((SUMIFS('DATA INPUT'!$D$3:$D$3000,'DATA INPUT'!$B$3:$B$3000,'Report Tables'!AX$1,'DATA INPUT'!$A$3:$A$3000,"&gt;="&amp;DATE(2020,10,1),'DATA INPUT'!$A$3:$A$3000,"&lt;"&amp;DATE(2020,10,31),'DATA INPUT'!$F$3:$F$3000,"&lt;&gt;*Exclude*"))/(COUNTIFS('DATA INPUT'!$B$3:$B$3000,'Report Tables'!AX$1,'DATA INPUT'!$A$3:$A$3000,"&gt;="&amp;DATE(2020,10,1),'DATA INPUT'!$A$3:$A$3000,"&lt;"&amp;DATE(2020,10,31),'DATA INPUT'!$F$3:$F$3000,"&lt;&gt;*Exclude*")),#N/A))</f>
        <v>#N/A</v>
      </c>
      <c r="AZ48" s="117" t="e">
        <f>IF($L$2="Yes",IFERROR((SUMIFS('DATA INPUT'!$C$3:$C$3000,'DATA INPUT'!$B$3:$B$3000,'Report Tables'!AX$1,'DATA INPUT'!$A$3:$A$3000,"&gt;="&amp;DATE(2020,10,1),'DATA INPUT'!$A$3:$A$3000,"&lt;"&amp;DATE(2020,10,31)))/COUNTIFS('DATA INPUT'!$B$3:$B$3000,'Report Tables'!AX$1,'DATA INPUT'!$A$3:$A$3000,"&gt;="&amp;DATE(2020,10,1),'DATA INPUT'!$A$3:$A$3000,"&lt;"&amp;DATE(2020,10,31)),#N/A),IFERROR((SUMIFS('DATA INPUT'!$C$3:$C$3000,'DATA INPUT'!$B$3:$B$3000,'Report Tables'!AX$1,'DATA INPUT'!$A$3:$A$3000,"&gt;="&amp;DATE(2020,10,1),'DATA INPUT'!$A$3:$A$3000,"&lt;"&amp;DATE(2020,10,31),'DATA INPUT'!$F$3:$F$3000,"&lt;&gt;*Exclude*"))/(COUNTIFS('DATA INPUT'!$B$3:$B$3000,'Report Tables'!AX$1,'DATA INPUT'!$A$3:$A$3000,"&gt;="&amp;DATE(2020,10,1),'DATA INPUT'!$A$3:$A$3000,"&lt;"&amp;DATE(2020,10,31),'DATA INPUT'!$F$3:$F$3000,"&lt;&gt;*Exclude*")),#N/A))</f>
        <v>#N/A</v>
      </c>
    </row>
    <row r="49" spans="1:52" ht="15" thickBot="1" x14ac:dyDescent="0.35">
      <c r="B49" s="29" t="s">
        <v>91</v>
      </c>
      <c r="C49" s="28" t="e">
        <f t="shared" ref="C49:K49" si="18">IF(SUMIF(C41:C48,"&lt;&gt;#DIV/0!")=0,#N/A,SUMIF(C41:C48,"&lt;&gt;#DIV/0!"))</f>
        <v>#N/A</v>
      </c>
      <c r="D49" s="28" t="e">
        <f t="shared" si="18"/>
        <v>#N/A</v>
      </c>
      <c r="E49" s="28" t="e">
        <f t="shared" si="18"/>
        <v>#N/A</v>
      </c>
      <c r="F49" s="28" t="e">
        <f t="shared" si="18"/>
        <v>#N/A</v>
      </c>
      <c r="G49" s="28" t="e">
        <f t="shared" si="18"/>
        <v>#N/A</v>
      </c>
      <c r="H49" s="28" t="e">
        <f t="shared" si="18"/>
        <v>#N/A</v>
      </c>
      <c r="I49" s="28" t="e">
        <f t="shared" si="18"/>
        <v>#N/A</v>
      </c>
      <c r="J49" s="28" t="e">
        <f t="shared" si="18"/>
        <v>#N/A</v>
      </c>
      <c r="K49" s="28" t="e">
        <f t="shared" si="18"/>
        <v>#N/A</v>
      </c>
      <c r="L49" s="74" t="str">
        <f t="shared" si="17"/>
        <v/>
      </c>
      <c r="Y49" s="149"/>
      <c r="Z49" s="149" t="s">
        <v>22</v>
      </c>
      <c r="AA49" s="136" t="e">
        <f>IF($L$2="Yes",IF(SUMIFS('DATA INPUT'!$E$3:$E$3000,'DATA INPUT'!$B$3:$B$3000,'Report Tables'!AA$1,'DATA INPUT'!$A$3:$A$3000,"&gt;="&amp;DATE(2020,11,1),'DATA INPUT'!$A$3:$A$3000,"&lt;"&amp;DATE(2020,11,31))=0,#N/A,(SUMIFS('DATA INPUT'!$E$3:$E$3000,'DATA INPUT'!$B$3:$B$3000,'Report Tables'!AA$1,'DATA INPUT'!$A$3:$A$3000,"&gt;="&amp;DATE(2020,11,1),'DATA INPUT'!$A$3:$A$3000,"&lt;"&amp;DATE(2020,11,31)))),IF(SUMIFS('DATA INPUT'!$E$3:$E$3000,'DATA INPUT'!$B$3:$B$3000,'Report Tables'!AA$1,'DATA INPUT'!$A$3:$A$3000,"&gt;="&amp;DATE(2020,11,1),'DATA INPUT'!$A$3:$A$3000,"&lt;"&amp;DATE(2020,11,31),'DATA INPUT'!$F$3:$F$3000,"&lt;&gt;*Exclude*")=0,#N/A,(SUMIFS('DATA INPUT'!$E$3:$E$3000,'DATA INPUT'!$B$3:$B$3000,'Report Tables'!AA$1,'DATA INPUT'!$A$3:$A$3000,"&gt;="&amp;DATE(2020,11,1),'DATA INPUT'!$A$3:$A$3000,"&lt;"&amp;DATE(2020,11,31),'DATA INPUT'!$F$3:$F$3000,"&lt;&gt;*Exclude*"))))</f>
        <v>#N/A</v>
      </c>
      <c r="AB49" s="136" t="e">
        <f>IF($L$2="Yes",IF(SUMIFS('DATA INPUT'!$E$3:$E$3000,'DATA INPUT'!$B$3:$B$3000,'Report Tables'!AB$1,'DATA INPUT'!$A$3:$A$3000,"&gt;="&amp;DATE(2020,11,1),'DATA INPUT'!$A$3:$A$3000,"&lt;"&amp;DATE(2020,11,31))=0,#N/A,(SUMIFS('DATA INPUT'!$E$3:$E$3000,'DATA INPUT'!$B$3:$B$3000,'Report Tables'!AB$1,'DATA INPUT'!$A$3:$A$3000,"&gt;="&amp;DATE(2020,11,1),'DATA INPUT'!$A$3:$A$3000,"&lt;"&amp;DATE(2020,11,31)))),IF(SUMIFS('DATA INPUT'!$E$3:$E$3000,'DATA INPUT'!$B$3:$B$3000,'Report Tables'!AB$1,'DATA INPUT'!$A$3:$A$3000,"&gt;="&amp;DATE(2020,11,1),'DATA INPUT'!$A$3:$A$3000,"&lt;"&amp;DATE(2020,11,31),'DATA INPUT'!$F$3:$F$3000,"&lt;&gt;*Exclude*")=0,#N/A,(SUMIFS('DATA INPUT'!$E$3:$E$3000,'DATA INPUT'!$B$3:$B$3000,'Report Tables'!AB$1,'DATA INPUT'!$A$3:$A$3000,"&gt;="&amp;DATE(2020,11,1),'DATA INPUT'!$A$3:$A$3000,"&lt;"&amp;DATE(2020,11,31),'DATA INPUT'!$F$3:$F$3000,"&lt;&gt;*Exclude*"))))</f>
        <v>#N/A</v>
      </c>
      <c r="AC49" s="136" t="e">
        <f>IF($L$2="Yes",IF(SUMIFS('DATA INPUT'!$E$3:$E$3000,'DATA INPUT'!$B$3:$B$3000,'Report Tables'!AC$1,'DATA INPUT'!$A$3:$A$3000,"&gt;="&amp;DATE(2020,11,1),'DATA INPUT'!$A$3:$A$3000,"&lt;"&amp;DATE(2020,11,31))=0,#N/A,(SUMIFS('DATA INPUT'!$E$3:$E$3000,'DATA INPUT'!$B$3:$B$3000,'Report Tables'!AC$1,'DATA INPUT'!$A$3:$A$3000,"&gt;="&amp;DATE(2020,11,1),'DATA INPUT'!$A$3:$A$3000,"&lt;"&amp;DATE(2020,11,31)))),IF(SUMIFS('DATA INPUT'!$E$3:$E$3000,'DATA INPUT'!$B$3:$B$3000,'Report Tables'!AC$1,'DATA INPUT'!$A$3:$A$3000,"&gt;="&amp;DATE(2020,11,1),'DATA INPUT'!$A$3:$A$3000,"&lt;"&amp;DATE(2020,11,31),'DATA INPUT'!$F$3:$F$3000,"&lt;&gt;*Exclude*")=0,#N/A,(SUMIFS('DATA INPUT'!$E$3:$E$3000,'DATA INPUT'!$B$3:$B$3000,'Report Tables'!AC$1,'DATA INPUT'!$A$3:$A$3000,"&gt;="&amp;DATE(2020,11,1),'DATA INPUT'!$A$3:$A$3000,"&lt;"&amp;DATE(2020,11,31),'DATA INPUT'!$F$3:$F$3000,"&lt;&gt;*Exclude*"))))</f>
        <v>#N/A</v>
      </c>
      <c r="AD49" s="136" t="e">
        <f>IF($L$2="Yes",IF(SUMIFS('DATA INPUT'!$E$3:$E$3000,'DATA INPUT'!$B$3:$B$3000,'Report Tables'!AD$1,'DATA INPUT'!$A$3:$A$3000,"&gt;="&amp;DATE(2020,11,1),'DATA INPUT'!$A$3:$A$3000,"&lt;"&amp;DATE(2020,11,31))=0,#N/A,(SUMIFS('DATA INPUT'!$E$3:$E$3000,'DATA INPUT'!$B$3:$B$3000,'Report Tables'!AD$1,'DATA INPUT'!$A$3:$A$3000,"&gt;="&amp;DATE(2020,11,1),'DATA INPUT'!$A$3:$A$3000,"&lt;"&amp;DATE(2020,11,31)))),IF(SUMIFS('DATA INPUT'!$E$3:$E$3000,'DATA INPUT'!$B$3:$B$3000,'Report Tables'!AD$1,'DATA INPUT'!$A$3:$A$3000,"&gt;="&amp;DATE(2020,11,1),'DATA INPUT'!$A$3:$A$3000,"&lt;"&amp;DATE(2020,11,31),'DATA INPUT'!$F$3:$F$3000,"&lt;&gt;*Exclude*")=0,#N/A,(SUMIFS('DATA INPUT'!$E$3:$E$3000,'DATA INPUT'!$B$3:$B$3000,'Report Tables'!AD$1,'DATA INPUT'!$A$3:$A$3000,"&gt;="&amp;DATE(2020,11,1),'DATA INPUT'!$A$3:$A$3000,"&lt;"&amp;DATE(2020,11,31),'DATA INPUT'!$F$3:$F$3000,"&lt;&gt;*Exclude*"))))</f>
        <v>#N/A</v>
      </c>
      <c r="AE49" s="136" t="e">
        <f>IF($L$2="Yes",IF(SUMIFS('DATA INPUT'!$E$3:$E$3000,'DATA INPUT'!$B$3:$B$3000,'Report Tables'!AE$1,'DATA INPUT'!$A$3:$A$3000,"&gt;="&amp;DATE(2020,11,1),'DATA INPUT'!$A$3:$A$3000,"&lt;"&amp;DATE(2020,11,31))=0,#N/A,(SUMIFS('DATA INPUT'!$E$3:$E$3000,'DATA INPUT'!$B$3:$B$3000,'Report Tables'!AE$1,'DATA INPUT'!$A$3:$A$3000,"&gt;="&amp;DATE(2020,11,1),'DATA INPUT'!$A$3:$A$3000,"&lt;"&amp;DATE(2020,11,31)))),IF(SUMIFS('DATA INPUT'!$E$3:$E$3000,'DATA INPUT'!$B$3:$B$3000,'Report Tables'!AE$1,'DATA INPUT'!$A$3:$A$3000,"&gt;="&amp;DATE(2020,11,1),'DATA INPUT'!$A$3:$A$3000,"&lt;"&amp;DATE(2020,11,31),'DATA INPUT'!$F$3:$F$3000,"&lt;&gt;*Exclude*")=0,#N/A,(SUMIFS('DATA INPUT'!$E$3:$E$3000,'DATA INPUT'!$B$3:$B$3000,'Report Tables'!AE$1,'DATA INPUT'!$A$3:$A$3000,"&gt;="&amp;DATE(2020,11,1),'DATA INPUT'!$A$3:$A$3000,"&lt;"&amp;DATE(2020,11,31),'DATA INPUT'!$F$3:$F$3000,"&lt;&gt;*Exclude*"))))</f>
        <v>#N/A</v>
      </c>
      <c r="AF49" s="136" t="e">
        <f>IF($L$2="Yes",IF(SUMIFS('DATA INPUT'!$E$3:$E$3000,'DATA INPUT'!$B$3:$B$3000,'Report Tables'!AF$1,'DATA INPUT'!$A$3:$A$3000,"&gt;="&amp;DATE(2020,11,1),'DATA INPUT'!$A$3:$A$3000,"&lt;"&amp;DATE(2020,11,31))=0,#N/A,(SUMIFS('DATA INPUT'!$E$3:$E$3000,'DATA INPUT'!$B$3:$B$3000,'Report Tables'!AF$1,'DATA INPUT'!$A$3:$A$3000,"&gt;="&amp;DATE(2020,11,1),'DATA INPUT'!$A$3:$A$3000,"&lt;"&amp;DATE(2020,11,31)))),IF(SUMIFS('DATA INPUT'!$E$3:$E$3000,'DATA INPUT'!$B$3:$B$3000,'Report Tables'!AF$1,'DATA INPUT'!$A$3:$A$3000,"&gt;="&amp;DATE(2020,11,1),'DATA INPUT'!$A$3:$A$3000,"&lt;"&amp;DATE(2020,11,31),'DATA INPUT'!$F$3:$F$3000,"&lt;&gt;*Exclude*")=0,#N/A,(SUMIFS('DATA INPUT'!$E$3:$E$3000,'DATA INPUT'!$B$3:$B$3000,'Report Tables'!AF$1,'DATA INPUT'!$A$3:$A$3000,"&gt;="&amp;DATE(2020,11,1),'DATA INPUT'!$A$3:$A$3000,"&lt;"&amp;DATE(2020,11,31),'DATA INPUT'!$F$3:$F$3000,"&lt;&gt;*Exclude*"))))</f>
        <v>#N/A</v>
      </c>
      <c r="AG49" s="136" t="e">
        <f>IF($L$2="Yes",IF(SUMIFS('DATA INPUT'!$E$3:$E$3000,'DATA INPUT'!$B$3:$B$3000,'Report Tables'!AG$1,'DATA INPUT'!$A$3:$A$3000,"&gt;="&amp;DATE(2020,11,1),'DATA INPUT'!$A$3:$A$3000,"&lt;"&amp;DATE(2020,11,31))=0,#N/A,(SUMIFS('DATA INPUT'!$E$3:$E$3000,'DATA INPUT'!$B$3:$B$3000,'Report Tables'!AG$1,'DATA INPUT'!$A$3:$A$3000,"&gt;="&amp;DATE(2020,11,1),'DATA INPUT'!$A$3:$A$3000,"&lt;"&amp;DATE(2020,11,31)))),IF(SUMIFS('DATA INPUT'!$E$3:$E$3000,'DATA INPUT'!$B$3:$B$3000,'Report Tables'!AG$1,'DATA INPUT'!$A$3:$A$3000,"&gt;="&amp;DATE(2020,11,1),'DATA INPUT'!$A$3:$A$3000,"&lt;"&amp;DATE(2020,11,31),'DATA INPUT'!$F$3:$F$3000,"&lt;&gt;*Exclude*")=0,#N/A,(SUMIFS('DATA INPUT'!$E$3:$E$3000,'DATA INPUT'!$B$3:$B$3000,'Report Tables'!AG$1,'DATA INPUT'!$A$3:$A$3000,"&gt;="&amp;DATE(2020,11,1),'DATA INPUT'!$A$3:$A$3000,"&lt;"&amp;DATE(2020,11,31),'DATA INPUT'!$F$3:$F$3000,"&lt;&gt;*Exclude*"))))</f>
        <v>#N/A</v>
      </c>
      <c r="AH49" s="136" t="e">
        <f>IF($L$2="Yes",IF(SUMIFS('DATA INPUT'!$E$3:$E$3000,'DATA INPUT'!$B$3:$B$3000,'Report Tables'!AH$1,'DATA INPUT'!$A$3:$A$3000,"&gt;="&amp;DATE(2020,11,1),'DATA INPUT'!$A$3:$A$3000,"&lt;"&amp;DATE(2020,11,31))=0,#N/A,(SUMIFS('DATA INPUT'!$E$3:$E$3000,'DATA INPUT'!$B$3:$B$3000,'Report Tables'!AH$1,'DATA INPUT'!$A$3:$A$3000,"&gt;="&amp;DATE(2020,11,1),'DATA INPUT'!$A$3:$A$3000,"&lt;"&amp;DATE(2020,11,31)))),IF(SUMIFS('DATA INPUT'!$E$3:$E$3000,'DATA INPUT'!$B$3:$B$3000,'Report Tables'!AH$1,'DATA INPUT'!$A$3:$A$3000,"&gt;="&amp;DATE(2020,11,1),'DATA INPUT'!$A$3:$A$3000,"&lt;"&amp;DATE(2020,11,31),'DATA INPUT'!$F$3:$F$3000,"&lt;&gt;*Exclude*")=0,#N/A,(SUMIFS('DATA INPUT'!$E$3:$E$3000,'DATA INPUT'!$B$3:$B$3000,'Report Tables'!AH$1,'DATA INPUT'!$A$3:$A$3000,"&gt;="&amp;DATE(2020,11,1),'DATA INPUT'!$A$3:$A$3000,"&lt;"&amp;DATE(2020,11,31),'DATA INPUT'!$F$3:$F$3000,"&lt;&gt;*Exclude*"))))</f>
        <v>#N/A</v>
      </c>
      <c r="AI49" s="136" t="e">
        <f t="shared" si="0"/>
        <v>#N/A</v>
      </c>
      <c r="AJ49" s="136" t="e">
        <f>IF($L$2="Yes",IF(SUMIFS('DATA INPUT'!$D$3:$D$3000,'DATA INPUT'!$A$3:$A$3000,"&gt;="&amp;DATE(2020,11,1),'DATA INPUT'!$A$3:$A$3000,"&lt;"&amp;DATE(2020,11,31),'DATA INPUT'!$G$3:$G$3000,"&lt;&gt;*School service*")=0,#N/A,(SUMIFS('DATA INPUT'!$D$3:$D$3000,'DATA INPUT'!$A$3:$A$3000,"&gt;="&amp;DATE(2020,11,1),'DATA INPUT'!$A$3:$A$3000,"&lt;"&amp;DATE(2020,11,31),'DATA INPUT'!$G$3:$G$3000,"&lt;&gt;*School service*"))),IF(SUMIFS('DATA INPUT'!$D$3:$D$3000,'DATA INPUT'!$A$3:$A$3000,"&gt;="&amp;DATE(2020,11,1),'DATA INPUT'!$A$3:$A$3000,"&lt;"&amp;DATE(2020,11,31),'DATA INPUT'!$F$3:$F$3000,"&lt;&gt;*Exclude*",'DATA INPUT'!$G$3:$G$3000,"&lt;&gt;*School service*")=0,#N/A,(SUMIFS('DATA INPUT'!$D$3:$D$3000,'DATA INPUT'!$A$3:$A$3000,"&gt;="&amp;DATE(2020,11,1),'DATA INPUT'!$A$3:$A$3000,"&lt;"&amp;DATE(2020,11,31),'DATA INPUT'!$F$3:$F$3000,"&lt;&gt;*Exclude*",'DATA INPUT'!$G$3:$G$3000,"&lt;&gt;*School service*"))))</f>
        <v>#N/A</v>
      </c>
      <c r="AK49" s="136" t="e">
        <f>AI49-AJ49</f>
        <v>#N/A</v>
      </c>
      <c r="AM49" s="117" t="e">
        <f>IF($L$2="Yes",IFERROR((SUMIFS('DATA INPUT'!$E$3:$E$3000,'DATA INPUT'!$B$3:$B$3000,'Report Tables'!AM$1,'DATA INPUT'!$A$3:$A$3000,"&gt;="&amp;DATE(2020,11,1),'DATA INPUT'!$A$3:$A$3000,"&lt;"&amp;DATE(2020,11,31)))/COUNTIFS('DATA INPUT'!$B$3:$B$3000,'Report Tables'!AM$1,'DATA INPUT'!$A$3:$A$3000,"&gt;="&amp;DATE(2020,11,1),'DATA INPUT'!$A$3:$A$3000,"&lt;"&amp;DATE(2020,11,31)),#N/A),IFERROR((SUMIFS('DATA INPUT'!$E$3:$E$3000,'DATA INPUT'!$B$3:$B$3000,'Report Tables'!AM$1,'DATA INPUT'!$A$3:$A$3000,"&gt;="&amp;DATE(2020,11,1),'DATA INPUT'!$A$3:$A$3000,"&lt;"&amp;DATE(2020,11,31),'DATA INPUT'!$F$3:$F$3000,"&lt;&gt;*Exclude*"))/(COUNTIFS('DATA INPUT'!$B$3:$B$3000,'Report Tables'!AM$1,'DATA INPUT'!$A$3:$A$3000,"&gt;="&amp;DATE(2020,11,1),'DATA INPUT'!$A$3:$A$3000,"&lt;"&amp;DATE(2020,11,31),'DATA INPUT'!$F$3:$F$3000,"&lt;&gt;*Exclude*")),#N/A))</f>
        <v>#N/A</v>
      </c>
      <c r="AN49" s="117" t="e">
        <f>IF($L$2="Yes",IFERROR((SUMIFS('DATA INPUT'!$E$3:$E$3000,'DATA INPUT'!$B$3:$B$3000,'Report Tables'!AN$1,'DATA INPUT'!$A$3:$A$3000,"&gt;="&amp;DATE(2020,11,1),'DATA INPUT'!$A$3:$A$3000,"&lt;"&amp;DATE(2020,11,31)))/COUNTIFS('DATA INPUT'!$B$3:$B$3000,'Report Tables'!AN$1,'DATA INPUT'!$A$3:$A$3000,"&gt;="&amp;DATE(2020,11,1),'DATA INPUT'!$A$3:$A$3000,"&lt;"&amp;DATE(2020,11,31)),#N/A),IFERROR((SUMIFS('DATA INPUT'!$E$3:$E$3000,'DATA INPUT'!$B$3:$B$3000,'Report Tables'!AN$1,'DATA INPUT'!$A$3:$A$3000,"&gt;="&amp;DATE(2020,11,1),'DATA INPUT'!$A$3:$A$3000,"&lt;"&amp;DATE(2020,11,31),'DATA INPUT'!$F$3:$F$3000,"&lt;&gt;*Exclude*"))/(COUNTIFS('DATA INPUT'!$B$3:$B$3000,'Report Tables'!AN$1,'DATA INPUT'!$A$3:$A$3000,"&gt;="&amp;DATE(2020,11,1),'DATA INPUT'!$A$3:$A$3000,"&lt;"&amp;DATE(2020,11,31),'DATA INPUT'!$F$3:$F$3000,"&lt;&gt;*Exclude*")),#N/A))</f>
        <v>#N/A</v>
      </c>
      <c r="AO49" s="117" t="e">
        <f>IF($L$2="Yes",IFERROR((SUMIFS('DATA INPUT'!$E$3:$E$3000,'DATA INPUT'!$B$3:$B$3000,'Report Tables'!AO$1,'DATA INPUT'!$A$3:$A$3000,"&gt;="&amp;DATE(2020,11,1),'DATA INPUT'!$A$3:$A$3000,"&lt;"&amp;DATE(2020,11,31)))/COUNTIFS('DATA INPUT'!$B$3:$B$3000,'Report Tables'!AO$1,'DATA INPUT'!$A$3:$A$3000,"&gt;="&amp;DATE(2020,11,1),'DATA INPUT'!$A$3:$A$3000,"&lt;"&amp;DATE(2020,11,31)),#N/A),IFERROR((SUMIFS('DATA INPUT'!$E$3:$E$3000,'DATA INPUT'!$B$3:$B$3000,'Report Tables'!AO$1,'DATA INPUT'!$A$3:$A$3000,"&gt;="&amp;DATE(2020,11,1),'DATA INPUT'!$A$3:$A$3000,"&lt;"&amp;DATE(2020,11,31),'DATA INPUT'!$F$3:$F$3000,"&lt;&gt;*Exclude*"))/(COUNTIFS('DATA INPUT'!$B$3:$B$3000,'Report Tables'!AO$1,'DATA INPUT'!$A$3:$A$3000,"&gt;="&amp;DATE(2020,11,1),'DATA INPUT'!$A$3:$A$3000,"&lt;"&amp;DATE(2020,11,31),'DATA INPUT'!$F$3:$F$3000,"&lt;&gt;*Exclude*")),#N/A))</f>
        <v>#N/A</v>
      </c>
      <c r="AP49" s="117" t="e">
        <f>IF($L$2="Yes",IFERROR((SUMIFS('DATA INPUT'!$E$3:$E$3000,'DATA INPUT'!$B$3:$B$3000,'Report Tables'!AP$1,'DATA INPUT'!$A$3:$A$3000,"&gt;="&amp;DATE(2020,11,1),'DATA INPUT'!$A$3:$A$3000,"&lt;"&amp;DATE(2020,11,31)))/COUNTIFS('DATA INPUT'!$B$3:$B$3000,'Report Tables'!AP$1,'DATA INPUT'!$A$3:$A$3000,"&gt;="&amp;DATE(2020,11,1),'DATA INPUT'!$A$3:$A$3000,"&lt;"&amp;DATE(2020,11,31)),#N/A),IFERROR((SUMIFS('DATA INPUT'!$E$3:$E$3000,'DATA INPUT'!$B$3:$B$3000,'Report Tables'!AP$1,'DATA INPUT'!$A$3:$A$3000,"&gt;="&amp;DATE(2020,11,1),'DATA INPUT'!$A$3:$A$3000,"&lt;"&amp;DATE(2020,11,31),'DATA INPUT'!$F$3:$F$3000,"&lt;&gt;*Exclude*"))/(COUNTIFS('DATA INPUT'!$B$3:$B$3000,'Report Tables'!AP$1,'DATA INPUT'!$A$3:$A$3000,"&gt;="&amp;DATE(2020,11,1),'DATA INPUT'!$A$3:$A$3000,"&lt;"&amp;DATE(2020,11,31),'DATA INPUT'!$F$3:$F$3000,"&lt;&gt;*Exclude*")),#N/A))</f>
        <v>#N/A</v>
      </c>
      <c r="AQ49" s="117" t="e">
        <f>IF($L$2="Yes",IFERROR((SUMIFS('DATA INPUT'!$E$3:$E$3000,'DATA INPUT'!$B$3:$B$3000,'Report Tables'!AQ$1,'DATA INPUT'!$A$3:$A$3000,"&gt;="&amp;DATE(2020,11,1),'DATA INPUT'!$A$3:$A$3000,"&lt;"&amp;DATE(2020,11,31)))/COUNTIFS('DATA INPUT'!$B$3:$B$3000,'Report Tables'!AQ$1,'DATA INPUT'!$A$3:$A$3000,"&gt;="&amp;DATE(2020,11,1),'DATA INPUT'!$A$3:$A$3000,"&lt;"&amp;DATE(2020,11,31)),#N/A),IFERROR((SUMIFS('DATA INPUT'!$E$3:$E$3000,'DATA INPUT'!$B$3:$B$3000,'Report Tables'!AQ$1,'DATA INPUT'!$A$3:$A$3000,"&gt;="&amp;DATE(2020,11,1),'DATA INPUT'!$A$3:$A$3000,"&lt;"&amp;DATE(2020,11,31),'DATA INPUT'!$F$3:$F$3000,"&lt;&gt;*Exclude*"))/(COUNTIFS('DATA INPUT'!$B$3:$B$3000,'Report Tables'!AQ$1,'DATA INPUT'!$A$3:$A$3000,"&gt;="&amp;DATE(2020,11,1),'DATA INPUT'!$A$3:$A$3000,"&lt;"&amp;DATE(2020,11,31),'DATA INPUT'!$F$3:$F$3000,"&lt;&gt;*Exclude*")),#N/A))</f>
        <v>#N/A</v>
      </c>
      <c r="AR49" s="117" t="e">
        <f>IF($L$2="Yes",IFERROR((SUMIFS('DATA INPUT'!$E$3:$E$3000,'DATA INPUT'!$B$3:$B$3000,'Report Tables'!AR$1,'DATA INPUT'!$A$3:$A$3000,"&gt;="&amp;DATE(2020,11,1),'DATA INPUT'!$A$3:$A$3000,"&lt;"&amp;DATE(2020,11,31)))/COUNTIFS('DATA INPUT'!$B$3:$B$3000,'Report Tables'!AR$1,'DATA INPUT'!$A$3:$A$3000,"&gt;="&amp;DATE(2020,11,1),'DATA INPUT'!$A$3:$A$3000,"&lt;"&amp;DATE(2020,11,31)),#N/A),IFERROR((SUMIFS('DATA INPUT'!$E$3:$E$3000,'DATA INPUT'!$B$3:$B$3000,'Report Tables'!AR$1,'DATA INPUT'!$A$3:$A$3000,"&gt;="&amp;DATE(2020,11,1),'DATA INPUT'!$A$3:$A$3000,"&lt;"&amp;DATE(2020,11,31),'DATA INPUT'!$F$3:$F$3000,"&lt;&gt;*Exclude*"))/(COUNTIFS('DATA INPUT'!$B$3:$B$3000,'Report Tables'!AR$1,'DATA INPUT'!$A$3:$A$3000,"&gt;="&amp;DATE(2020,11,1),'DATA INPUT'!$A$3:$A$3000,"&lt;"&amp;DATE(2020,11,31),'DATA INPUT'!$F$3:$F$3000,"&lt;&gt;*Exclude*")),#N/A))</f>
        <v>#N/A</v>
      </c>
      <c r="AS49" s="117" t="e">
        <f>IF($L$2="Yes",IFERROR((SUMIFS('DATA INPUT'!$E$3:$E$3000,'DATA INPUT'!$B$3:$B$3000,'Report Tables'!AS$1,'DATA INPUT'!$A$3:$A$3000,"&gt;="&amp;DATE(2020,11,1),'DATA INPUT'!$A$3:$A$3000,"&lt;"&amp;DATE(2020,11,31)))/COUNTIFS('DATA INPUT'!$B$3:$B$3000,'Report Tables'!AS$1,'DATA INPUT'!$A$3:$A$3000,"&gt;="&amp;DATE(2020,11,1),'DATA INPUT'!$A$3:$A$3000,"&lt;"&amp;DATE(2020,11,31)),#N/A),IFERROR((SUMIFS('DATA INPUT'!$E$3:$E$3000,'DATA INPUT'!$B$3:$B$3000,'Report Tables'!AS$1,'DATA INPUT'!$A$3:$A$3000,"&gt;="&amp;DATE(2020,11,1),'DATA INPUT'!$A$3:$A$3000,"&lt;"&amp;DATE(2020,11,31),'DATA INPUT'!$F$3:$F$3000,"&lt;&gt;*Exclude*"))/(COUNTIFS('DATA INPUT'!$B$3:$B$3000,'Report Tables'!AS$1,'DATA INPUT'!$A$3:$A$3000,"&gt;="&amp;DATE(2020,11,1),'DATA INPUT'!$A$3:$A$3000,"&lt;"&amp;DATE(2020,11,31),'DATA INPUT'!$F$3:$F$3000,"&lt;&gt;*Exclude*")),#N/A))</f>
        <v>#N/A</v>
      </c>
      <c r="AT49" s="117" t="e">
        <f>IF($L$2="Yes",IFERROR((SUMIFS('DATA INPUT'!$E$3:$E$3000,'DATA INPUT'!$B$3:$B$3000,'Report Tables'!AT$1,'DATA INPUT'!$A$3:$A$3000,"&gt;="&amp;DATE(2020,11,1),'DATA INPUT'!$A$3:$A$3000,"&lt;"&amp;DATE(2020,11,31)))/COUNTIFS('DATA INPUT'!$B$3:$B$3000,'Report Tables'!AT$1,'DATA INPUT'!$A$3:$A$3000,"&gt;="&amp;DATE(2020,11,1),'DATA INPUT'!$A$3:$A$3000,"&lt;"&amp;DATE(2020,11,31)),#N/A),IFERROR((SUMIFS('DATA INPUT'!$E$3:$E$3000,'DATA INPUT'!$B$3:$B$3000,'Report Tables'!AT$1,'DATA INPUT'!$A$3:$A$3000,"&gt;="&amp;DATE(2020,11,1),'DATA INPUT'!$A$3:$A$3000,"&lt;"&amp;DATE(2020,11,31),'DATA INPUT'!$F$3:$F$3000,"&lt;&gt;*Exclude*"))/(COUNTIFS('DATA INPUT'!$B$3:$B$3000,'Report Tables'!AT$1,'DATA INPUT'!$A$3:$A$3000,"&gt;="&amp;DATE(2020,11,1),'DATA INPUT'!$A$3:$A$3000,"&lt;"&amp;DATE(2020,11,31),'DATA INPUT'!$F$3:$F$3000,"&lt;&gt;*Exclude*")),#N/A))</f>
        <v>#N/A</v>
      </c>
      <c r="AU49" s="117" t="e">
        <f t="shared" si="1"/>
        <v>#N/A</v>
      </c>
      <c r="AV49" s="117" t="e">
        <f>IF($L$2="Yes",IFERROR((SUMIFS('DATA INPUT'!$D$3:$D$3000,'DATA INPUT'!$A$3:$A$3000,"&gt;="&amp;DATE(2020,11,1),'DATA INPUT'!$A$3:$A$3000,"&lt;"&amp;DATE(2020,11,31),'DATA INPUT'!$G$3:$G$3000,"&lt;&gt;*School service*"))/COUNTIFS('DATA INPUT'!$A$3:$A$3000,"&gt;="&amp;DATE(2020,11,1),'DATA INPUT'!$A$3:$A$3000,"&lt;"&amp;DATE(2020,11,31),'DATA INPUT'!$G$3:$G$3000,"&lt;&gt;*School service*",'DATA INPUT'!$D$3:$D$3000,"&lt;&gt;"&amp;""),#N/A),IFERROR((SUMIFS('DATA INPUT'!$D$3:$D$3000,'DATA INPUT'!$A$3:$A$3000,"&gt;="&amp;DATE(2020,11,1),'DATA INPUT'!$A$3:$A$3000,"&lt;"&amp;DATE(2020,11,31),'DATA INPUT'!$F$3:$F$3000,"&lt;&gt;*Exclude*",'DATA INPUT'!$G$3:$G$3000,"&lt;&gt;*School service*"))/(COUNTIFS('DATA INPUT'!$A$3:$A$3000,"&gt;="&amp;DATE(2020,11,1),'DATA INPUT'!$A$3:$A$3000,"&lt;"&amp;DATE(2020,11,31),'DATA INPUT'!$F$3:$F$3000,"&lt;&gt;*Exclude*",'DATA INPUT'!$G$3:$G$3000,"&lt;&gt;*School service*",'DATA INPUT'!$D$3:$D$3000,"&lt;&gt;"&amp;"")),#N/A))</f>
        <v>#N/A</v>
      </c>
      <c r="AW49" s="117" t="e">
        <f t="shared" si="2"/>
        <v>#N/A</v>
      </c>
      <c r="AX49" s="117" t="e">
        <f>IF($L$2="Yes",IFERROR((SUMIFS('DATA INPUT'!$E$3:$E$3000,'DATA INPUT'!$B$3:$B$3000,'Report Tables'!AX$1,'DATA INPUT'!$A$3:$A$3000,"&gt;="&amp;DATE(2020,11,1),'DATA INPUT'!$A$3:$A$3000,"&lt;"&amp;DATE(2020,11,31)))/COUNTIFS('DATA INPUT'!$B$3:$B$3000,'Report Tables'!AX$1,'DATA INPUT'!$A$3:$A$3000,"&gt;="&amp;DATE(2020,11,1),'DATA INPUT'!$A$3:$A$3000,"&lt;"&amp;DATE(2020,11,31)),#N/A),IFERROR((SUMIFS('DATA INPUT'!$E$3:$E$3000,'DATA INPUT'!$B$3:$B$3000,'Report Tables'!AX$1,'DATA INPUT'!$A$3:$A$3000,"&gt;="&amp;DATE(2020,11,1),'DATA INPUT'!$A$3:$A$3000,"&lt;"&amp;DATE(2020,11,31),'DATA INPUT'!$F$3:$F$3000,"&lt;&gt;*Exclude*"))/(COUNTIFS('DATA INPUT'!$B$3:$B$3000,'Report Tables'!AX$1,'DATA INPUT'!$A$3:$A$3000,"&gt;="&amp;DATE(2020,11,1),'DATA INPUT'!$A$3:$A$3000,"&lt;"&amp;DATE(2020,11,31),'DATA INPUT'!$F$3:$F$3000,"&lt;&gt;*Exclude*")),#N/A))</f>
        <v>#N/A</v>
      </c>
      <c r="AY49" s="117" t="e">
        <f>IF($L$2="Yes",IFERROR((SUMIFS('DATA INPUT'!$D$3:$D$3000,'DATA INPUT'!$B$3:$B$3000,'Report Tables'!AX$1,'DATA INPUT'!$A$3:$A$3000,"&gt;="&amp;DATE(2020,11,1),'DATA INPUT'!$A$3:$A$3000,"&lt;"&amp;DATE(2020,11,31)))/COUNTIFS('DATA INPUT'!$B$3:$B$3000,'Report Tables'!AX$1,'DATA INPUT'!$A$3:$A$3000,"&gt;="&amp;DATE(2020,11,1),'DATA INPUT'!$A$3:$A$3000,"&lt;"&amp;DATE(2020,11,31)),#N/A),IFERROR((SUMIFS('DATA INPUT'!$D$3:$D$3000,'DATA INPUT'!$B$3:$B$3000,'Report Tables'!AX$1,'DATA INPUT'!$A$3:$A$3000,"&gt;="&amp;DATE(2020,11,1),'DATA INPUT'!$A$3:$A$3000,"&lt;"&amp;DATE(2020,11,31),'DATA INPUT'!$F$3:$F$3000,"&lt;&gt;*Exclude*"))/(COUNTIFS('DATA INPUT'!$B$3:$B$3000,'Report Tables'!AX$1,'DATA INPUT'!$A$3:$A$3000,"&gt;="&amp;DATE(2020,11,1),'DATA INPUT'!$A$3:$A$3000,"&lt;"&amp;DATE(2020,11,31),'DATA INPUT'!$F$3:$F$3000,"&lt;&gt;*Exclude*")),#N/A))</f>
        <v>#N/A</v>
      </c>
      <c r="AZ49" s="117" t="e">
        <f>IF($L$2="Yes",IFERROR((SUMIFS('DATA INPUT'!$C$3:$C$3000,'DATA INPUT'!$B$3:$B$3000,'Report Tables'!AX$1,'DATA INPUT'!$A$3:$A$3000,"&gt;="&amp;DATE(2020,11,1),'DATA INPUT'!$A$3:$A$3000,"&lt;"&amp;DATE(2020,11,31)))/COUNTIFS('DATA INPUT'!$B$3:$B$3000,'Report Tables'!AX$1,'DATA INPUT'!$A$3:$A$3000,"&gt;="&amp;DATE(2020,11,1),'DATA INPUT'!$A$3:$A$3000,"&lt;"&amp;DATE(2020,11,31)),#N/A),IFERROR((SUMIFS('DATA INPUT'!$C$3:$C$3000,'DATA INPUT'!$B$3:$B$3000,'Report Tables'!AX$1,'DATA INPUT'!$A$3:$A$3000,"&gt;="&amp;DATE(2020,11,1),'DATA INPUT'!$A$3:$A$3000,"&lt;"&amp;DATE(2020,11,31),'DATA INPUT'!$F$3:$F$3000,"&lt;&gt;*Exclude*"))/(COUNTIFS('DATA INPUT'!$B$3:$B$3000,'Report Tables'!AX$1,'DATA INPUT'!$A$3:$A$3000,"&gt;="&amp;DATE(2020,11,1),'DATA INPUT'!$A$3:$A$3000,"&lt;"&amp;DATE(2020,11,31),'DATA INPUT'!$F$3:$F$3000,"&lt;&gt;*Exclude*")),#N/A))</f>
        <v>#N/A</v>
      </c>
    </row>
    <row r="50" spans="1:52" x14ac:dyDescent="0.3">
      <c r="B50" s="29" t="s">
        <v>92</v>
      </c>
      <c r="C50" s="28" t="e">
        <f t="shared" ref="C50:L50" si="19">IF((SUMIFS(C41:C48,$A$29:$A$36,"&lt;&gt;School Service",C41:C48,"&lt;&gt;#DIV/0!"))=0,#N/A,(SUMIFS(C41:C48,$A$29:$A$36,"&lt;&gt;School Service",C41:C48,"&lt;&gt;#DIV/0!")))</f>
        <v>#N/A</v>
      </c>
      <c r="D50" s="28" t="e">
        <f t="shared" si="19"/>
        <v>#N/A</v>
      </c>
      <c r="E50" s="28" t="e">
        <f t="shared" si="19"/>
        <v>#N/A</v>
      </c>
      <c r="F50" s="28" t="e">
        <f t="shared" si="19"/>
        <v>#N/A</v>
      </c>
      <c r="G50" s="28" t="e">
        <f t="shared" si="19"/>
        <v>#N/A</v>
      </c>
      <c r="H50" s="28" t="e">
        <f t="shared" si="19"/>
        <v>#N/A</v>
      </c>
      <c r="I50" s="28" t="e">
        <f t="shared" si="19"/>
        <v>#N/A</v>
      </c>
      <c r="J50" s="28" t="e">
        <f t="shared" si="19"/>
        <v>#N/A</v>
      </c>
      <c r="K50" s="28" t="e">
        <f t="shared" si="19"/>
        <v>#N/A</v>
      </c>
      <c r="L50" s="74" t="e">
        <f t="shared" si="19"/>
        <v>#N/A</v>
      </c>
      <c r="Y50" s="149"/>
      <c r="Z50" s="149" t="s">
        <v>23</v>
      </c>
      <c r="AA50" s="136" t="e">
        <f>IF($L$2="Yes",IF(SUMIFS('DATA INPUT'!$E$3:$E$3000,'DATA INPUT'!$B$3:$B$3000,'Report Tables'!AA$1,'DATA INPUT'!$A$3:$A$3000,"&gt;="&amp;DATE(2020,12,1),'DATA INPUT'!$A$3:$A$3000,"&lt;"&amp;DATE(2020,12,31))=0,#N/A,(SUMIFS('DATA INPUT'!$E$3:$E$3000,'DATA INPUT'!$B$3:$B$3000,'Report Tables'!AA$1,'DATA INPUT'!$A$3:$A$3000,"&gt;="&amp;DATE(2020,12,1),'DATA INPUT'!$A$3:$A$3000,"&lt;"&amp;DATE(2020,12,31)))),IF(SUMIFS('DATA INPUT'!$E$3:$E$3000,'DATA INPUT'!$B$3:$B$3000,'Report Tables'!AA$1,'DATA INPUT'!$A$3:$A$3000,"&gt;="&amp;DATE(2020,12,1),'DATA INPUT'!$A$3:$A$3000,"&lt;"&amp;DATE(2020,12,31),'DATA INPUT'!$F$3:$F$3000,"&lt;&gt;*Exclude*")=0,#N/A,(SUMIFS('DATA INPUT'!$E$3:$E$3000,'DATA INPUT'!$B$3:$B$3000,'Report Tables'!AA$1,'DATA INPUT'!$A$3:$A$3000,"&gt;="&amp;DATE(2020,12,1),'DATA INPUT'!$A$3:$A$3000,"&lt;"&amp;DATE(2020,12,31),'DATA INPUT'!$F$3:$F$3000,"&lt;&gt;*Exclude*"))))</f>
        <v>#N/A</v>
      </c>
      <c r="AB50" s="136" t="e">
        <f>IF($L$2="Yes",IF(SUMIFS('DATA INPUT'!$E$3:$E$3000,'DATA INPUT'!$B$3:$B$3000,'Report Tables'!AB$1,'DATA INPUT'!$A$3:$A$3000,"&gt;="&amp;DATE(2020,12,1),'DATA INPUT'!$A$3:$A$3000,"&lt;"&amp;DATE(2020,12,31))=0,#N/A,(SUMIFS('DATA INPUT'!$E$3:$E$3000,'DATA INPUT'!$B$3:$B$3000,'Report Tables'!AB$1,'DATA INPUT'!$A$3:$A$3000,"&gt;="&amp;DATE(2020,12,1),'DATA INPUT'!$A$3:$A$3000,"&lt;"&amp;DATE(2020,12,31)))),IF(SUMIFS('DATA INPUT'!$E$3:$E$3000,'DATA INPUT'!$B$3:$B$3000,'Report Tables'!AB$1,'DATA INPUT'!$A$3:$A$3000,"&gt;="&amp;DATE(2020,12,1),'DATA INPUT'!$A$3:$A$3000,"&lt;"&amp;DATE(2020,12,31),'DATA INPUT'!$F$3:$F$3000,"&lt;&gt;*Exclude*")=0,#N/A,(SUMIFS('DATA INPUT'!$E$3:$E$3000,'DATA INPUT'!$B$3:$B$3000,'Report Tables'!AB$1,'DATA INPUT'!$A$3:$A$3000,"&gt;="&amp;DATE(2020,12,1),'DATA INPUT'!$A$3:$A$3000,"&lt;"&amp;DATE(2020,12,31),'DATA INPUT'!$F$3:$F$3000,"&lt;&gt;*Exclude*"))))</f>
        <v>#N/A</v>
      </c>
      <c r="AC50" s="136" t="e">
        <f>IF($L$2="Yes",IF(SUMIFS('DATA INPUT'!$E$3:$E$3000,'DATA INPUT'!$B$3:$B$3000,'Report Tables'!AC$1,'DATA INPUT'!$A$3:$A$3000,"&gt;="&amp;DATE(2020,12,1),'DATA INPUT'!$A$3:$A$3000,"&lt;"&amp;DATE(2020,12,31))=0,#N/A,(SUMIFS('DATA INPUT'!$E$3:$E$3000,'DATA INPUT'!$B$3:$B$3000,'Report Tables'!AC$1,'DATA INPUT'!$A$3:$A$3000,"&gt;="&amp;DATE(2020,12,1),'DATA INPUT'!$A$3:$A$3000,"&lt;"&amp;DATE(2020,12,31)))),IF(SUMIFS('DATA INPUT'!$E$3:$E$3000,'DATA INPUT'!$B$3:$B$3000,'Report Tables'!AC$1,'DATA INPUT'!$A$3:$A$3000,"&gt;="&amp;DATE(2020,12,1),'DATA INPUT'!$A$3:$A$3000,"&lt;"&amp;DATE(2020,12,31),'DATA INPUT'!$F$3:$F$3000,"&lt;&gt;*Exclude*")=0,#N/A,(SUMIFS('DATA INPUT'!$E$3:$E$3000,'DATA INPUT'!$B$3:$B$3000,'Report Tables'!AC$1,'DATA INPUT'!$A$3:$A$3000,"&gt;="&amp;DATE(2020,12,1),'DATA INPUT'!$A$3:$A$3000,"&lt;"&amp;DATE(2020,12,31),'DATA INPUT'!$F$3:$F$3000,"&lt;&gt;*Exclude*"))))</f>
        <v>#N/A</v>
      </c>
      <c r="AD50" s="136" t="e">
        <f>IF($L$2="Yes",IF(SUMIFS('DATA INPUT'!$E$3:$E$3000,'DATA INPUT'!$B$3:$B$3000,'Report Tables'!AD$1,'DATA INPUT'!$A$3:$A$3000,"&gt;="&amp;DATE(2020,12,1),'DATA INPUT'!$A$3:$A$3000,"&lt;"&amp;DATE(2020,12,31))=0,#N/A,(SUMIFS('DATA INPUT'!$E$3:$E$3000,'DATA INPUT'!$B$3:$B$3000,'Report Tables'!AD$1,'DATA INPUT'!$A$3:$A$3000,"&gt;="&amp;DATE(2020,12,1),'DATA INPUT'!$A$3:$A$3000,"&lt;"&amp;DATE(2020,12,31)))),IF(SUMIFS('DATA INPUT'!$E$3:$E$3000,'DATA INPUT'!$B$3:$B$3000,'Report Tables'!AD$1,'DATA INPUT'!$A$3:$A$3000,"&gt;="&amp;DATE(2020,12,1),'DATA INPUT'!$A$3:$A$3000,"&lt;"&amp;DATE(2020,12,31),'DATA INPUT'!$F$3:$F$3000,"&lt;&gt;*Exclude*")=0,#N/A,(SUMIFS('DATA INPUT'!$E$3:$E$3000,'DATA INPUT'!$B$3:$B$3000,'Report Tables'!AD$1,'DATA INPUT'!$A$3:$A$3000,"&gt;="&amp;DATE(2020,12,1),'DATA INPUT'!$A$3:$A$3000,"&lt;"&amp;DATE(2020,12,31),'DATA INPUT'!$F$3:$F$3000,"&lt;&gt;*Exclude*"))))</f>
        <v>#N/A</v>
      </c>
      <c r="AE50" s="136" t="e">
        <f>IF($L$2="Yes",IF(SUMIFS('DATA INPUT'!$E$3:$E$3000,'DATA INPUT'!$B$3:$B$3000,'Report Tables'!AE$1,'DATA INPUT'!$A$3:$A$3000,"&gt;="&amp;DATE(2020,12,1),'DATA INPUT'!$A$3:$A$3000,"&lt;"&amp;DATE(2020,12,31))=0,#N/A,(SUMIFS('DATA INPUT'!$E$3:$E$3000,'DATA INPUT'!$B$3:$B$3000,'Report Tables'!AE$1,'DATA INPUT'!$A$3:$A$3000,"&gt;="&amp;DATE(2020,12,1),'DATA INPUT'!$A$3:$A$3000,"&lt;"&amp;DATE(2020,12,31)))),IF(SUMIFS('DATA INPUT'!$E$3:$E$3000,'DATA INPUT'!$B$3:$B$3000,'Report Tables'!AE$1,'DATA INPUT'!$A$3:$A$3000,"&gt;="&amp;DATE(2020,12,1),'DATA INPUT'!$A$3:$A$3000,"&lt;"&amp;DATE(2020,12,31),'DATA INPUT'!$F$3:$F$3000,"&lt;&gt;*Exclude*")=0,#N/A,(SUMIFS('DATA INPUT'!$E$3:$E$3000,'DATA INPUT'!$B$3:$B$3000,'Report Tables'!AE$1,'DATA INPUT'!$A$3:$A$3000,"&gt;="&amp;DATE(2020,12,1),'DATA INPUT'!$A$3:$A$3000,"&lt;"&amp;DATE(2020,12,31),'DATA INPUT'!$F$3:$F$3000,"&lt;&gt;*Exclude*"))))</f>
        <v>#N/A</v>
      </c>
      <c r="AF50" s="136" t="e">
        <f>IF($L$2="Yes",IF(SUMIFS('DATA INPUT'!$E$3:$E$3000,'DATA INPUT'!$B$3:$B$3000,'Report Tables'!AF$1,'DATA INPUT'!$A$3:$A$3000,"&gt;="&amp;DATE(2020,12,1),'DATA INPUT'!$A$3:$A$3000,"&lt;"&amp;DATE(2020,12,31))=0,#N/A,(SUMIFS('DATA INPUT'!$E$3:$E$3000,'DATA INPUT'!$B$3:$B$3000,'Report Tables'!AF$1,'DATA INPUT'!$A$3:$A$3000,"&gt;="&amp;DATE(2020,12,1),'DATA INPUT'!$A$3:$A$3000,"&lt;"&amp;DATE(2020,12,31)))),IF(SUMIFS('DATA INPUT'!$E$3:$E$3000,'DATA INPUT'!$B$3:$B$3000,'Report Tables'!AF$1,'DATA INPUT'!$A$3:$A$3000,"&gt;="&amp;DATE(2020,12,1),'DATA INPUT'!$A$3:$A$3000,"&lt;"&amp;DATE(2020,12,31),'DATA INPUT'!$F$3:$F$3000,"&lt;&gt;*Exclude*")=0,#N/A,(SUMIFS('DATA INPUT'!$E$3:$E$3000,'DATA INPUT'!$B$3:$B$3000,'Report Tables'!AF$1,'DATA INPUT'!$A$3:$A$3000,"&gt;="&amp;DATE(2020,12,1),'DATA INPUT'!$A$3:$A$3000,"&lt;"&amp;DATE(2020,12,31),'DATA INPUT'!$F$3:$F$3000,"&lt;&gt;*Exclude*"))))</f>
        <v>#N/A</v>
      </c>
      <c r="AG50" s="136" t="e">
        <f>IF($L$2="Yes",IF(SUMIFS('DATA INPUT'!$E$3:$E$3000,'DATA INPUT'!$B$3:$B$3000,'Report Tables'!AG$1,'DATA INPUT'!$A$3:$A$3000,"&gt;="&amp;DATE(2020,12,1),'DATA INPUT'!$A$3:$A$3000,"&lt;"&amp;DATE(2020,12,31))=0,#N/A,(SUMIFS('DATA INPUT'!$E$3:$E$3000,'DATA INPUT'!$B$3:$B$3000,'Report Tables'!AG$1,'DATA INPUT'!$A$3:$A$3000,"&gt;="&amp;DATE(2020,12,1),'DATA INPUT'!$A$3:$A$3000,"&lt;"&amp;DATE(2020,12,31)))),IF(SUMIFS('DATA INPUT'!$E$3:$E$3000,'DATA INPUT'!$B$3:$B$3000,'Report Tables'!AG$1,'DATA INPUT'!$A$3:$A$3000,"&gt;="&amp;DATE(2020,12,1),'DATA INPUT'!$A$3:$A$3000,"&lt;"&amp;DATE(2020,12,31),'DATA INPUT'!$F$3:$F$3000,"&lt;&gt;*Exclude*")=0,#N/A,(SUMIFS('DATA INPUT'!$E$3:$E$3000,'DATA INPUT'!$B$3:$B$3000,'Report Tables'!AG$1,'DATA INPUT'!$A$3:$A$3000,"&gt;="&amp;DATE(2020,12,1),'DATA INPUT'!$A$3:$A$3000,"&lt;"&amp;DATE(2020,12,31),'DATA INPUT'!$F$3:$F$3000,"&lt;&gt;*Exclude*"))))</f>
        <v>#N/A</v>
      </c>
      <c r="AH50" s="136" t="e">
        <f>IF($L$2="Yes",IF(SUMIFS('DATA INPUT'!$E$3:$E$3000,'DATA INPUT'!$B$3:$B$3000,'Report Tables'!AH$1,'DATA INPUT'!$A$3:$A$3000,"&gt;="&amp;DATE(2020,12,1),'DATA INPUT'!$A$3:$A$3000,"&lt;"&amp;DATE(2020,12,31))=0,#N/A,(SUMIFS('DATA INPUT'!$E$3:$E$3000,'DATA INPUT'!$B$3:$B$3000,'Report Tables'!AH$1,'DATA INPUT'!$A$3:$A$3000,"&gt;="&amp;DATE(2020,12,1),'DATA INPUT'!$A$3:$A$3000,"&lt;"&amp;DATE(2020,12,31)))),IF(SUMIFS('DATA INPUT'!$E$3:$E$3000,'DATA INPUT'!$B$3:$B$3000,'Report Tables'!AH$1,'DATA INPUT'!$A$3:$A$3000,"&gt;="&amp;DATE(2020,12,1),'DATA INPUT'!$A$3:$A$3000,"&lt;"&amp;DATE(2020,12,31),'DATA INPUT'!$F$3:$F$3000,"&lt;&gt;*Exclude*")=0,#N/A,(SUMIFS('DATA INPUT'!$E$3:$E$3000,'DATA INPUT'!$B$3:$B$3000,'Report Tables'!AH$1,'DATA INPUT'!$A$3:$A$3000,"&gt;="&amp;DATE(2020,12,1),'DATA INPUT'!$A$3:$A$3000,"&lt;"&amp;DATE(2020,12,31),'DATA INPUT'!$F$3:$F$3000,"&lt;&gt;*Exclude*"))))</f>
        <v>#N/A</v>
      </c>
      <c r="AI50" s="136" t="e">
        <f t="shared" si="0"/>
        <v>#N/A</v>
      </c>
      <c r="AJ50" s="136" t="e">
        <f>IF($L$2="Yes",IF(SUMIFS('DATA INPUT'!$D$3:$D$3000,'DATA INPUT'!$A$3:$A$3000,"&gt;="&amp;DATE(2020,12,1),'DATA INPUT'!$A$3:$A$3000,"&lt;"&amp;DATE(2020,12,31),'DATA INPUT'!$G$3:$G$3000,"&lt;&gt;*School service*")=0,#N/A,(SUMIFS('DATA INPUT'!$D$3:$D$3000,'DATA INPUT'!$A$3:$A$3000,"&gt;="&amp;DATE(2020,12,1),'DATA INPUT'!$A$3:$A$3000,"&lt;"&amp;DATE(2020,12,31),'DATA INPUT'!$G$3:$G$3000,"&lt;&gt;*School service*"))),IF(SUMIFS('DATA INPUT'!$D$3:$D$3000,'DATA INPUT'!$A$3:$A$3000,"&gt;="&amp;DATE(2020,12,1),'DATA INPUT'!$A$3:$A$3000,"&lt;"&amp;DATE(2020,12,31),'DATA INPUT'!$F$3:$F$3000,"&lt;&gt;*Exclude*",'DATA INPUT'!$G$3:$G$3000,"&lt;&gt;*School service*")=0,#N/A,(SUMIFS('DATA INPUT'!$D$3:$D$3000,'DATA INPUT'!$A$3:$A$3000,"&gt;="&amp;DATE(2020,12,1),'DATA INPUT'!$A$3:$A$3000,"&lt;"&amp;DATE(2020,12,31),'DATA INPUT'!$F$3:$F$3000,"&lt;&gt;*Exclude*",'DATA INPUT'!$G$3:$G$3000,"&lt;&gt;*School service*"))))</f>
        <v>#N/A</v>
      </c>
      <c r="AK50" s="136" t="e">
        <f>AI50-AJ50</f>
        <v>#N/A</v>
      </c>
      <c r="AM50" s="117" t="e">
        <f>IF($L$2="Yes",IFERROR((SUMIFS('DATA INPUT'!$E$3:$E$3000,'DATA INPUT'!$B$3:$B$3000,'Report Tables'!AM$1,'DATA INPUT'!$A$3:$A$3000,"&gt;="&amp;DATE(2020,12,1),'DATA INPUT'!$A$3:$A$3000,"&lt;"&amp;DATE(2020,12,31)))/COUNTIFS('DATA INPUT'!$B$3:$B$3000,'Report Tables'!AM$1,'DATA INPUT'!$A$3:$A$3000,"&gt;="&amp;DATE(2020,12,1),'DATA INPUT'!$A$3:$A$3000,"&lt;"&amp;DATE(2020,12,31)),#N/A),IFERROR((SUMIFS('DATA INPUT'!$E$3:$E$3000,'DATA INPUT'!$B$3:$B$3000,'Report Tables'!AM$1,'DATA INPUT'!$A$3:$A$3000,"&gt;="&amp;DATE(2020,12,1),'DATA INPUT'!$A$3:$A$3000,"&lt;"&amp;DATE(2020,12,31),'DATA INPUT'!$F$3:$F$3000,"&lt;&gt;*Exclude*"))/(COUNTIFS('DATA INPUT'!$B$3:$B$3000,'Report Tables'!AM$1,'DATA INPUT'!$A$3:$A$3000,"&gt;="&amp;DATE(2020,12,1),'DATA INPUT'!$A$3:$A$3000,"&lt;"&amp;DATE(2020,12,31),'DATA INPUT'!$F$3:$F$3000,"&lt;&gt;*Exclude*")),#N/A))</f>
        <v>#N/A</v>
      </c>
      <c r="AN50" s="117" t="e">
        <f>IF($L$2="Yes",IFERROR((SUMIFS('DATA INPUT'!$E$3:$E$3000,'DATA INPUT'!$B$3:$B$3000,'Report Tables'!AN$1,'DATA INPUT'!$A$3:$A$3000,"&gt;="&amp;DATE(2020,12,1),'DATA INPUT'!$A$3:$A$3000,"&lt;"&amp;DATE(2020,12,31)))/COUNTIFS('DATA INPUT'!$B$3:$B$3000,'Report Tables'!AN$1,'DATA INPUT'!$A$3:$A$3000,"&gt;="&amp;DATE(2020,12,1),'DATA INPUT'!$A$3:$A$3000,"&lt;"&amp;DATE(2020,12,31)),#N/A),IFERROR((SUMIFS('DATA INPUT'!$E$3:$E$3000,'DATA INPUT'!$B$3:$B$3000,'Report Tables'!AN$1,'DATA INPUT'!$A$3:$A$3000,"&gt;="&amp;DATE(2020,12,1),'DATA INPUT'!$A$3:$A$3000,"&lt;"&amp;DATE(2020,12,31),'DATA INPUT'!$F$3:$F$3000,"&lt;&gt;*Exclude*"))/(COUNTIFS('DATA INPUT'!$B$3:$B$3000,'Report Tables'!AN$1,'DATA INPUT'!$A$3:$A$3000,"&gt;="&amp;DATE(2020,12,1),'DATA INPUT'!$A$3:$A$3000,"&lt;"&amp;DATE(2020,12,31),'DATA INPUT'!$F$3:$F$3000,"&lt;&gt;*Exclude*")),#N/A))</f>
        <v>#N/A</v>
      </c>
      <c r="AO50" s="117" t="e">
        <f>IF($L$2="Yes",IFERROR((SUMIFS('DATA INPUT'!$E$3:$E$3000,'DATA INPUT'!$B$3:$B$3000,'Report Tables'!AO$1,'DATA INPUT'!$A$3:$A$3000,"&gt;="&amp;DATE(2020,12,1),'DATA INPUT'!$A$3:$A$3000,"&lt;"&amp;DATE(2020,12,31)))/COUNTIFS('DATA INPUT'!$B$3:$B$3000,'Report Tables'!AO$1,'DATA INPUT'!$A$3:$A$3000,"&gt;="&amp;DATE(2020,12,1),'DATA INPUT'!$A$3:$A$3000,"&lt;"&amp;DATE(2020,12,31)),#N/A),IFERROR((SUMIFS('DATA INPUT'!$E$3:$E$3000,'DATA INPUT'!$B$3:$B$3000,'Report Tables'!AO$1,'DATA INPUT'!$A$3:$A$3000,"&gt;="&amp;DATE(2020,12,1),'DATA INPUT'!$A$3:$A$3000,"&lt;"&amp;DATE(2020,12,31),'DATA INPUT'!$F$3:$F$3000,"&lt;&gt;*Exclude*"))/(COUNTIFS('DATA INPUT'!$B$3:$B$3000,'Report Tables'!AO$1,'DATA INPUT'!$A$3:$A$3000,"&gt;="&amp;DATE(2020,12,1),'DATA INPUT'!$A$3:$A$3000,"&lt;"&amp;DATE(2020,12,31),'DATA INPUT'!$F$3:$F$3000,"&lt;&gt;*Exclude*")),#N/A))</f>
        <v>#N/A</v>
      </c>
      <c r="AP50" s="117" t="e">
        <f>IF($L$2="Yes",IFERROR((SUMIFS('DATA INPUT'!$E$3:$E$3000,'DATA INPUT'!$B$3:$B$3000,'Report Tables'!AP$1,'DATA INPUT'!$A$3:$A$3000,"&gt;="&amp;DATE(2020,12,1),'DATA INPUT'!$A$3:$A$3000,"&lt;"&amp;DATE(2020,12,31)))/COUNTIFS('DATA INPUT'!$B$3:$B$3000,'Report Tables'!AP$1,'DATA INPUT'!$A$3:$A$3000,"&gt;="&amp;DATE(2020,12,1),'DATA INPUT'!$A$3:$A$3000,"&lt;"&amp;DATE(2020,12,31)),#N/A),IFERROR((SUMIFS('DATA INPUT'!$E$3:$E$3000,'DATA INPUT'!$B$3:$B$3000,'Report Tables'!AP$1,'DATA INPUT'!$A$3:$A$3000,"&gt;="&amp;DATE(2020,12,1),'DATA INPUT'!$A$3:$A$3000,"&lt;"&amp;DATE(2020,12,31),'DATA INPUT'!$F$3:$F$3000,"&lt;&gt;*Exclude*"))/(COUNTIFS('DATA INPUT'!$B$3:$B$3000,'Report Tables'!AP$1,'DATA INPUT'!$A$3:$A$3000,"&gt;="&amp;DATE(2020,12,1),'DATA INPUT'!$A$3:$A$3000,"&lt;"&amp;DATE(2020,12,31),'DATA INPUT'!$F$3:$F$3000,"&lt;&gt;*Exclude*")),#N/A))</f>
        <v>#N/A</v>
      </c>
      <c r="AQ50" s="117" t="e">
        <f>IF($L$2="Yes",IFERROR((SUMIFS('DATA INPUT'!$E$3:$E$3000,'DATA INPUT'!$B$3:$B$3000,'Report Tables'!AQ$1,'DATA INPUT'!$A$3:$A$3000,"&gt;="&amp;DATE(2020,12,1),'DATA INPUT'!$A$3:$A$3000,"&lt;"&amp;DATE(2020,12,31)))/COUNTIFS('DATA INPUT'!$B$3:$B$3000,'Report Tables'!AQ$1,'DATA INPUT'!$A$3:$A$3000,"&gt;="&amp;DATE(2020,12,1),'DATA INPUT'!$A$3:$A$3000,"&lt;"&amp;DATE(2020,12,31)),#N/A),IFERROR((SUMIFS('DATA INPUT'!$E$3:$E$3000,'DATA INPUT'!$B$3:$B$3000,'Report Tables'!AQ$1,'DATA INPUT'!$A$3:$A$3000,"&gt;="&amp;DATE(2020,12,1),'DATA INPUT'!$A$3:$A$3000,"&lt;"&amp;DATE(2020,12,31),'DATA INPUT'!$F$3:$F$3000,"&lt;&gt;*Exclude*"))/(COUNTIFS('DATA INPUT'!$B$3:$B$3000,'Report Tables'!AQ$1,'DATA INPUT'!$A$3:$A$3000,"&gt;="&amp;DATE(2020,12,1),'DATA INPUT'!$A$3:$A$3000,"&lt;"&amp;DATE(2020,12,31),'DATA INPUT'!$F$3:$F$3000,"&lt;&gt;*Exclude*")),#N/A))</f>
        <v>#N/A</v>
      </c>
      <c r="AR50" s="117" t="e">
        <f>IF($L$2="Yes",IFERROR((SUMIFS('DATA INPUT'!$E$3:$E$3000,'DATA INPUT'!$B$3:$B$3000,'Report Tables'!AR$1,'DATA INPUT'!$A$3:$A$3000,"&gt;="&amp;DATE(2020,12,1),'DATA INPUT'!$A$3:$A$3000,"&lt;"&amp;DATE(2020,12,31)))/COUNTIFS('DATA INPUT'!$B$3:$B$3000,'Report Tables'!AR$1,'DATA INPUT'!$A$3:$A$3000,"&gt;="&amp;DATE(2020,12,1),'DATA INPUT'!$A$3:$A$3000,"&lt;"&amp;DATE(2020,12,31)),#N/A),IFERROR((SUMIFS('DATA INPUT'!$E$3:$E$3000,'DATA INPUT'!$B$3:$B$3000,'Report Tables'!AR$1,'DATA INPUT'!$A$3:$A$3000,"&gt;="&amp;DATE(2020,12,1),'DATA INPUT'!$A$3:$A$3000,"&lt;"&amp;DATE(2020,12,31),'DATA INPUT'!$F$3:$F$3000,"&lt;&gt;*Exclude*"))/(COUNTIFS('DATA INPUT'!$B$3:$B$3000,'Report Tables'!AR$1,'DATA INPUT'!$A$3:$A$3000,"&gt;="&amp;DATE(2020,12,1),'DATA INPUT'!$A$3:$A$3000,"&lt;"&amp;DATE(2020,12,31),'DATA INPUT'!$F$3:$F$3000,"&lt;&gt;*Exclude*")),#N/A))</f>
        <v>#N/A</v>
      </c>
      <c r="AS50" s="117" t="e">
        <f>IF($L$2="Yes",IFERROR((SUMIFS('DATA INPUT'!$E$3:$E$3000,'DATA INPUT'!$B$3:$B$3000,'Report Tables'!AS$1,'DATA INPUT'!$A$3:$A$3000,"&gt;="&amp;DATE(2020,12,1),'DATA INPUT'!$A$3:$A$3000,"&lt;"&amp;DATE(2020,12,31)))/COUNTIFS('DATA INPUT'!$B$3:$B$3000,'Report Tables'!AS$1,'DATA INPUT'!$A$3:$A$3000,"&gt;="&amp;DATE(2020,12,1),'DATA INPUT'!$A$3:$A$3000,"&lt;"&amp;DATE(2020,12,31)),#N/A),IFERROR((SUMIFS('DATA INPUT'!$E$3:$E$3000,'DATA INPUT'!$B$3:$B$3000,'Report Tables'!AS$1,'DATA INPUT'!$A$3:$A$3000,"&gt;="&amp;DATE(2020,12,1),'DATA INPUT'!$A$3:$A$3000,"&lt;"&amp;DATE(2020,12,31),'DATA INPUT'!$F$3:$F$3000,"&lt;&gt;*Exclude*"))/(COUNTIFS('DATA INPUT'!$B$3:$B$3000,'Report Tables'!AS$1,'DATA INPUT'!$A$3:$A$3000,"&gt;="&amp;DATE(2020,12,1),'DATA INPUT'!$A$3:$A$3000,"&lt;"&amp;DATE(2020,12,31),'DATA INPUT'!$F$3:$F$3000,"&lt;&gt;*Exclude*")),#N/A))</f>
        <v>#N/A</v>
      </c>
      <c r="AT50" s="117" t="e">
        <f>IF($L$2="Yes",IFERROR((SUMIFS('DATA INPUT'!$E$3:$E$3000,'DATA INPUT'!$B$3:$B$3000,'Report Tables'!AT$1,'DATA INPUT'!$A$3:$A$3000,"&gt;="&amp;DATE(2020,12,1),'DATA INPUT'!$A$3:$A$3000,"&lt;"&amp;DATE(2020,12,31)))/COUNTIFS('DATA INPUT'!$B$3:$B$3000,'Report Tables'!AT$1,'DATA INPUT'!$A$3:$A$3000,"&gt;="&amp;DATE(2020,12,1),'DATA INPUT'!$A$3:$A$3000,"&lt;"&amp;DATE(2020,12,31)),#N/A),IFERROR((SUMIFS('DATA INPUT'!$E$3:$E$3000,'DATA INPUT'!$B$3:$B$3000,'Report Tables'!AT$1,'DATA INPUT'!$A$3:$A$3000,"&gt;="&amp;DATE(2020,12,1),'DATA INPUT'!$A$3:$A$3000,"&lt;"&amp;DATE(2020,12,31),'DATA INPUT'!$F$3:$F$3000,"&lt;&gt;*Exclude*"))/(COUNTIFS('DATA INPUT'!$B$3:$B$3000,'Report Tables'!AT$1,'DATA INPUT'!$A$3:$A$3000,"&gt;="&amp;DATE(2020,12,1),'DATA INPUT'!$A$3:$A$3000,"&lt;"&amp;DATE(2020,12,31),'DATA INPUT'!$F$3:$F$3000,"&lt;&gt;*Exclude*")),#N/A))</f>
        <v>#N/A</v>
      </c>
      <c r="AU50" s="117" t="e">
        <f t="shared" si="1"/>
        <v>#N/A</v>
      </c>
      <c r="AV50" s="117" t="e">
        <f>IF($L$2="Yes",IFERROR((SUMIFS('DATA INPUT'!$D$3:$D$3000,'DATA INPUT'!$A$3:$A$3000,"&gt;="&amp;DATE(2020,12,1),'DATA INPUT'!$A$3:$A$3000,"&lt;"&amp;DATE(2020,12,31),'DATA INPUT'!$G$3:$G$3000,"&lt;&gt;*School service*"))/COUNTIFS('DATA INPUT'!$A$3:$A$3000,"&gt;="&amp;DATE(2020,12,1),'DATA INPUT'!$A$3:$A$3000,"&lt;"&amp;DATE(2020,12,31),'DATA INPUT'!$G$3:$G$3000,"&lt;&gt;*School service*",'DATA INPUT'!$D$3:$D$3000,"&lt;&gt;"&amp;""),#N/A),IFERROR((SUMIFS('DATA INPUT'!$D$3:$D$3000,'DATA INPUT'!$A$3:$A$3000,"&gt;="&amp;DATE(2020,12,1),'DATA INPUT'!$A$3:$A$3000,"&lt;"&amp;DATE(2020,12,31),'DATA INPUT'!$F$3:$F$3000,"&lt;&gt;*Exclude*",'DATA INPUT'!$G$3:$G$3000,"&lt;&gt;*School service*"))/(COUNTIFS('DATA INPUT'!$A$3:$A$3000,"&gt;="&amp;DATE(2020,12,1),'DATA INPUT'!$A$3:$A$3000,"&lt;"&amp;DATE(2020,12,31),'DATA INPUT'!$F$3:$F$3000,"&lt;&gt;*Exclude*",'DATA INPUT'!$G$3:$G$3000,"&lt;&gt;*School service*",'DATA INPUT'!$D$3:$D$3000,"&lt;&gt;"&amp;"")),#N/A))</f>
        <v>#N/A</v>
      </c>
      <c r="AW50" s="117" t="e">
        <f t="shared" si="2"/>
        <v>#N/A</v>
      </c>
      <c r="AX50" s="117" t="e">
        <f>IF($L$2="Yes",IFERROR((SUMIFS('DATA INPUT'!$E$3:$E$3000,'DATA INPUT'!$B$3:$B$3000,'Report Tables'!AX$1,'DATA INPUT'!$A$3:$A$3000,"&gt;="&amp;DATE(2020,12,1),'DATA INPUT'!$A$3:$A$3000,"&lt;"&amp;DATE(2020,12,31)))/COUNTIFS('DATA INPUT'!$B$3:$B$3000,'Report Tables'!AX$1,'DATA INPUT'!$A$3:$A$3000,"&gt;="&amp;DATE(2020,12,1),'DATA INPUT'!$A$3:$A$3000,"&lt;"&amp;DATE(2020,12,31)),#N/A),IFERROR((SUMIFS('DATA INPUT'!$E$3:$E$3000,'DATA INPUT'!$B$3:$B$3000,'Report Tables'!AX$1,'DATA INPUT'!$A$3:$A$3000,"&gt;="&amp;DATE(2020,12,1),'DATA INPUT'!$A$3:$A$3000,"&lt;"&amp;DATE(2020,12,31),'DATA INPUT'!$F$3:$F$3000,"&lt;&gt;*Exclude*"))/(COUNTIFS('DATA INPUT'!$B$3:$B$3000,'Report Tables'!AX$1,'DATA INPUT'!$A$3:$A$3000,"&gt;="&amp;DATE(2020,12,1),'DATA INPUT'!$A$3:$A$3000,"&lt;"&amp;DATE(2020,12,31),'DATA INPUT'!$F$3:$F$3000,"&lt;&gt;*Exclude*")),#N/A))</f>
        <v>#N/A</v>
      </c>
      <c r="AY50" s="117" t="e">
        <f>IF($L$2="Yes",IFERROR((SUMIFS('DATA INPUT'!$D$3:$D$3000,'DATA INPUT'!$B$3:$B$3000,'Report Tables'!AX$1,'DATA INPUT'!$A$3:$A$3000,"&gt;="&amp;DATE(2020,12,1),'DATA INPUT'!$A$3:$A$3000,"&lt;"&amp;DATE(2020,12,31)))/COUNTIFS('DATA INPUT'!$B$3:$B$3000,'Report Tables'!AX$1,'DATA INPUT'!$A$3:$A$3000,"&gt;="&amp;DATE(2020,12,1),'DATA INPUT'!$A$3:$A$3000,"&lt;"&amp;DATE(2020,12,31)),#N/A),IFERROR((SUMIFS('DATA INPUT'!$D$3:$D$3000,'DATA INPUT'!$B$3:$B$3000,'Report Tables'!AX$1,'DATA INPUT'!$A$3:$A$3000,"&gt;="&amp;DATE(2020,12,1),'DATA INPUT'!$A$3:$A$3000,"&lt;"&amp;DATE(2020,12,31),'DATA INPUT'!$F$3:$F$3000,"&lt;&gt;*Exclude*"))/(COUNTIFS('DATA INPUT'!$B$3:$B$3000,'Report Tables'!AX$1,'DATA INPUT'!$A$3:$A$3000,"&gt;="&amp;DATE(2020,12,1),'DATA INPUT'!$A$3:$A$3000,"&lt;"&amp;DATE(2020,12,31),'DATA INPUT'!$F$3:$F$3000,"&lt;&gt;*Exclude*")),#N/A))</f>
        <v>#N/A</v>
      </c>
      <c r="AZ50" s="117" t="e">
        <f>IF($L$2="Yes",IFERROR((SUMIFS('DATA INPUT'!$C$3:$C$3000,'DATA INPUT'!$B$3:$B$3000,'Report Tables'!AX$1,'DATA INPUT'!$A$3:$A$3000,"&gt;="&amp;DATE(2020,12,1),'DATA INPUT'!$A$3:$A$3000,"&lt;"&amp;DATE(2020,12,31)))/COUNTIFS('DATA INPUT'!$B$3:$B$3000,'Report Tables'!AX$1,'DATA INPUT'!$A$3:$A$3000,"&gt;="&amp;DATE(2020,12,1),'DATA INPUT'!$A$3:$A$3000,"&lt;"&amp;DATE(2020,12,31)),#N/A),IFERROR((SUMIFS('DATA INPUT'!$C$3:$C$3000,'DATA INPUT'!$B$3:$B$3000,'Report Tables'!AX$1,'DATA INPUT'!$A$3:$A$3000,"&gt;="&amp;DATE(2020,12,1),'DATA INPUT'!$A$3:$A$3000,"&lt;"&amp;DATE(2020,12,31),'DATA INPUT'!$F$3:$F$3000,"&lt;&gt;*Exclude*"))/(COUNTIFS('DATA INPUT'!$B$3:$B$3000,'Report Tables'!AX$1,'DATA INPUT'!$A$3:$A$3000,"&gt;="&amp;DATE(2020,12,1),'DATA INPUT'!$A$3:$A$3000,"&lt;"&amp;DATE(2020,12,31),'DATA INPUT'!$F$3:$F$3000,"&lt;&gt;*Exclude*")),#N/A))</f>
        <v>#N/A</v>
      </c>
    </row>
    <row r="51" spans="1:52" x14ac:dyDescent="0.3">
      <c r="C51" s="93"/>
      <c r="D51" s="93"/>
      <c r="E51" s="93"/>
      <c r="F51" s="93"/>
      <c r="G51" s="93"/>
      <c r="H51" s="93"/>
      <c r="I51" s="93"/>
      <c r="J51" s="93"/>
      <c r="K51" s="93"/>
      <c r="L51" s="93"/>
      <c r="Y51" s="149">
        <v>2021</v>
      </c>
      <c r="Z51" s="149" t="s">
        <v>12</v>
      </c>
      <c r="AA51" s="136" t="e">
        <f>IF($L$2="Yes",IF(SUMIFS('DATA INPUT'!$E$3:$E$3000,'DATA INPUT'!$B$3:$B$3000,'Report Tables'!AA$1,'DATA INPUT'!$A$3:$A$3000,"&gt;="&amp;DATE(2021,1,1),'DATA INPUT'!$A$3:$A$3000,"&lt;"&amp;DATE(2021,1,31))=0,#N/A,(SUMIFS('DATA INPUT'!$E$3:$E$3000,'DATA INPUT'!$B$3:$B$3000,'Report Tables'!AA$1,'DATA INPUT'!$A$3:$A$3000,"&gt;="&amp;DATE(2021,1,1),'DATA INPUT'!$A$3:$A$3000,"&lt;"&amp;DATE(2021,1,31)))),IF(SUMIFS('DATA INPUT'!$E$3:$E$3000,'DATA INPUT'!$B$3:$B$3000,'Report Tables'!AA$1,'DATA INPUT'!$A$3:$A$3000,"&gt;="&amp;DATE(2021,1,1),'DATA INPUT'!$A$3:$A$3000,"&lt;"&amp;DATE(2021,1,31),'DATA INPUT'!$F$3:$F$3000,"&lt;&gt;*Exclude*")=0,#N/A,(SUMIFS('DATA INPUT'!$E$3:$E$3000,'DATA INPUT'!$B$3:$B$3000,'Report Tables'!AA$1,'DATA INPUT'!$A$3:$A$3000,"&gt;="&amp;DATE(2021,1,1),'DATA INPUT'!$A$3:$A$3000,"&lt;"&amp;DATE(2021,1,31),'DATA INPUT'!$F$3:$F$3000,"&lt;&gt;*Exclude*"))))</f>
        <v>#N/A</v>
      </c>
      <c r="AB51" s="136" t="e">
        <f>IF($L$2="Yes",IF(SUMIFS('DATA INPUT'!$E$3:$E$3000,'DATA INPUT'!$B$3:$B$3000,'Report Tables'!AB$1,'DATA INPUT'!$A$3:$A$3000,"&gt;="&amp;DATE(2021,1,1),'DATA INPUT'!$A$3:$A$3000,"&lt;"&amp;DATE(2021,1,31))=0,#N/A,(SUMIFS('DATA INPUT'!$E$3:$E$3000,'DATA INPUT'!$B$3:$B$3000,'Report Tables'!AB$1,'DATA INPUT'!$A$3:$A$3000,"&gt;="&amp;DATE(2021,1,1),'DATA INPUT'!$A$3:$A$3000,"&lt;"&amp;DATE(2021,1,31)))),IF(SUMIFS('DATA INPUT'!$E$3:$E$3000,'DATA INPUT'!$B$3:$B$3000,'Report Tables'!AB$1,'DATA INPUT'!$A$3:$A$3000,"&gt;="&amp;DATE(2021,1,1),'DATA INPUT'!$A$3:$A$3000,"&lt;"&amp;DATE(2021,1,31),'DATA INPUT'!$F$3:$F$3000,"&lt;&gt;*Exclude*")=0,#N/A,(SUMIFS('DATA INPUT'!$E$3:$E$3000,'DATA INPUT'!$B$3:$B$3000,'Report Tables'!AB$1,'DATA INPUT'!$A$3:$A$3000,"&gt;="&amp;DATE(2021,1,1),'DATA INPUT'!$A$3:$A$3000,"&lt;"&amp;DATE(2021,1,31),'DATA INPUT'!$F$3:$F$3000,"&lt;&gt;*Exclude*"))))</f>
        <v>#N/A</v>
      </c>
      <c r="AC51" s="136" t="e">
        <f>IF($L$2="Yes",IF(SUMIFS('DATA INPUT'!$E$3:$E$3000,'DATA INPUT'!$B$3:$B$3000,'Report Tables'!AC$1,'DATA INPUT'!$A$3:$A$3000,"&gt;="&amp;DATE(2021,1,1),'DATA INPUT'!$A$3:$A$3000,"&lt;"&amp;DATE(2021,1,31))=0,#N/A,(SUMIFS('DATA INPUT'!$E$3:$E$3000,'DATA INPUT'!$B$3:$B$3000,'Report Tables'!AC$1,'DATA INPUT'!$A$3:$A$3000,"&gt;="&amp;DATE(2021,1,1),'DATA INPUT'!$A$3:$A$3000,"&lt;"&amp;DATE(2021,1,31)))),IF(SUMIFS('DATA INPUT'!$E$3:$E$3000,'DATA INPUT'!$B$3:$B$3000,'Report Tables'!AC$1,'DATA INPUT'!$A$3:$A$3000,"&gt;="&amp;DATE(2021,1,1),'DATA INPUT'!$A$3:$A$3000,"&lt;"&amp;DATE(2021,1,31),'DATA INPUT'!$F$3:$F$3000,"&lt;&gt;*Exclude*")=0,#N/A,(SUMIFS('DATA INPUT'!$E$3:$E$3000,'DATA INPUT'!$B$3:$B$3000,'Report Tables'!AC$1,'DATA INPUT'!$A$3:$A$3000,"&gt;="&amp;DATE(2021,1,1),'DATA INPUT'!$A$3:$A$3000,"&lt;"&amp;DATE(2021,1,31),'DATA INPUT'!$F$3:$F$3000,"&lt;&gt;*Exclude*"))))</f>
        <v>#N/A</v>
      </c>
      <c r="AD51" s="136" t="e">
        <f>IF($L$2="Yes",IF(SUMIFS('DATA INPUT'!$E$3:$E$3000,'DATA INPUT'!$B$3:$B$3000,'Report Tables'!AD$1,'DATA INPUT'!$A$3:$A$3000,"&gt;="&amp;DATE(2021,1,1),'DATA INPUT'!$A$3:$A$3000,"&lt;"&amp;DATE(2021,1,31))=0,#N/A,(SUMIFS('DATA INPUT'!$E$3:$E$3000,'DATA INPUT'!$B$3:$B$3000,'Report Tables'!AD$1,'DATA INPUT'!$A$3:$A$3000,"&gt;="&amp;DATE(2021,1,1),'DATA INPUT'!$A$3:$A$3000,"&lt;"&amp;DATE(2021,1,31)))),IF(SUMIFS('DATA INPUT'!$E$3:$E$3000,'DATA INPUT'!$B$3:$B$3000,'Report Tables'!AD$1,'DATA INPUT'!$A$3:$A$3000,"&gt;="&amp;DATE(2021,1,1),'DATA INPUT'!$A$3:$A$3000,"&lt;"&amp;DATE(2021,1,31),'DATA INPUT'!$F$3:$F$3000,"&lt;&gt;*Exclude*")=0,#N/A,(SUMIFS('DATA INPUT'!$E$3:$E$3000,'DATA INPUT'!$B$3:$B$3000,'Report Tables'!AD$1,'DATA INPUT'!$A$3:$A$3000,"&gt;="&amp;DATE(2021,1,1),'DATA INPUT'!$A$3:$A$3000,"&lt;"&amp;DATE(2021,1,31),'DATA INPUT'!$F$3:$F$3000,"&lt;&gt;*Exclude*"))))</f>
        <v>#N/A</v>
      </c>
      <c r="AE51" s="136" t="e">
        <f>IF($L$2="Yes",IF(SUMIFS('DATA INPUT'!$E$3:$E$3000,'DATA INPUT'!$B$3:$B$3000,'Report Tables'!AE$1,'DATA INPUT'!$A$3:$A$3000,"&gt;="&amp;DATE(2021,1,1),'DATA INPUT'!$A$3:$A$3000,"&lt;"&amp;DATE(2021,1,31))=0,#N/A,(SUMIFS('DATA INPUT'!$E$3:$E$3000,'DATA INPUT'!$B$3:$B$3000,'Report Tables'!AE$1,'DATA INPUT'!$A$3:$A$3000,"&gt;="&amp;DATE(2021,1,1),'DATA INPUT'!$A$3:$A$3000,"&lt;"&amp;DATE(2021,1,31)))),IF(SUMIFS('DATA INPUT'!$E$3:$E$3000,'DATA INPUT'!$B$3:$B$3000,'Report Tables'!AE$1,'DATA INPUT'!$A$3:$A$3000,"&gt;="&amp;DATE(2021,1,1),'DATA INPUT'!$A$3:$A$3000,"&lt;"&amp;DATE(2021,1,31),'DATA INPUT'!$F$3:$F$3000,"&lt;&gt;*Exclude*")=0,#N/A,(SUMIFS('DATA INPUT'!$E$3:$E$3000,'DATA INPUT'!$B$3:$B$3000,'Report Tables'!AE$1,'DATA INPUT'!$A$3:$A$3000,"&gt;="&amp;DATE(2021,1,1),'DATA INPUT'!$A$3:$A$3000,"&lt;"&amp;DATE(2021,1,31),'DATA INPUT'!$F$3:$F$3000,"&lt;&gt;*Exclude*"))))</f>
        <v>#N/A</v>
      </c>
      <c r="AF51" s="136" t="e">
        <f>IF($L$2="Yes",IF(SUMIFS('DATA INPUT'!$E$3:$E$3000,'DATA INPUT'!$B$3:$B$3000,'Report Tables'!AF$1,'DATA INPUT'!$A$3:$A$3000,"&gt;="&amp;DATE(2021,1,1),'DATA INPUT'!$A$3:$A$3000,"&lt;"&amp;DATE(2021,1,31))=0,#N/A,(SUMIFS('DATA INPUT'!$E$3:$E$3000,'DATA INPUT'!$B$3:$B$3000,'Report Tables'!AF$1,'DATA INPUT'!$A$3:$A$3000,"&gt;="&amp;DATE(2021,1,1),'DATA INPUT'!$A$3:$A$3000,"&lt;"&amp;DATE(2021,1,31)))),IF(SUMIFS('DATA INPUT'!$E$3:$E$3000,'DATA INPUT'!$B$3:$B$3000,'Report Tables'!AF$1,'DATA INPUT'!$A$3:$A$3000,"&gt;="&amp;DATE(2021,1,1),'DATA INPUT'!$A$3:$A$3000,"&lt;"&amp;DATE(2021,1,31),'DATA INPUT'!$F$3:$F$3000,"&lt;&gt;*Exclude*")=0,#N/A,(SUMIFS('DATA INPUT'!$E$3:$E$3000,'DATA INPUT'!$B$3:$B$3000,'Report Tables'!AF$1,'DATA INPUT'!$A$3:$A$3000,"&gt;="&amp;DATE(2021,1,1),'DATA INPUT'!$A$3:$A$3000,"&lt;"&amp;DATE(2021,1,31),'DATA INPUT'!$F$3:$F$3000,"&lt;&gt;*Exclude*"))))</f>
        <v>#N/A</v>
      </c>
      <c r="AG51" s="136" t="e">
        <f>IF($L$2="Yes",IF(SUMIFS('DATA INPUT'!$E$3:$E$3000,'DATA INPUT'!$B$3:$B$3000,'Report Tables'!AG$1,'DATA INPUT'!$A$3:$A$3000,"&gt;="&amp;DATE(2021,1,1),'DATA INPUT'!$A$3:$A$3000,"&lt;"&amp;DATE(2021,1,31))=0,#N/A,(SUMIFS('DATA INPUT'!$E$3:$E$3000,'DATA INPUT'!$B$3:$B$3000,'Report Tables'!AG$1,'DATA INPUT'!$A$3:$A$3000,"&gt;="&amp;DATE(2021,1,1),'DATA INPUT'!$A$3:$A$3000,"&lt;"&amp;DATE(2021,1,31)))),IF(SUMIFS('DATA INPUT'!$E$3:$E$3000,'DATA INPUT'!$B$3:$B$3000,'Report Tables'!AG$1,'DATA INPUT'!$A$3:$A$3000,"&gt;="&amp;DATE(2021,1,1),'DATA INPUT'!$A$3:$A$3000,"&lt;"&amp;DATE(2021,1,31),'DATA INPUT'!$F$3:$F$3000,"&lt;&gt;*Exclude*")=0,#N/A,(SUMIFS('DATA INPUT'!$E$3:$E$3000,'DATA INPUT'!$B$3:$B$3000,'Report Tables'!AG$1,'DATA INPUT'!$A$3:$A$3000,"&gt;="&amp;DATE(2021,1,1),'DATA INPUT'!$A$3:$A$3000,"&lt;"&amp;DATE(2021,1,31),'DATA INPUT'!$F$3:$F$3000,"&lt;&gt;*Exclude*"))))</f>
        <v>#N/A</v>
      </c>
      <c r="AH51" s="136" t="e">
        <f>IF($L$2="Yes",IF(SUMIFS('DATA INPUT'!$E$3:$E$3000,'DATA INPUT'!$B$3:$B$3000,'Report Tables'!AH$1,'DATA INPUT'!$A$3:$A$3000,"&gt;="&amp;DATE(2021,1,1),'DATA INPUT'!$A$3:$A$3000,"&lt;"&amp;DATE(2021,1,31))=0,#N/A,(SUMIFS('DATA INPUT'!$E$3:$E$3000,'DATA INPUT'!$B$3:$B$3000,'Report Tables'!AH$1,'DATA INPUT'!$A$3:$A$3000,"&gt;="&amp;DATE(2021,1,1),'DATA INPUT'!$A$3:$A$3000,"&lt;"&amp;DATE(2021,1,31)))),IF(SUMIFS('DATA INPUT'!$E$3:$E$3000,'DATA INPUT'!$B$3:$B$3000,'Report Tables'!AH$1,'DATA INPUT'!$A$3:$A$3000,"&gt;="&amp;DATE(2021,1,1),'DATA INPUT'!$A$3:$A$3000,"&lt;"&amp;DATE(2021,1,31),'DATA INPUT'!$F$3:$F$3000,"&lt;&gt;*Exclude*")=0,#N/A,(SUMIFS('DATA INPUT'!$E$3:$E$3000,'DATA INPUT'!$B$3:$B$3000,'Report Tables'!AH$1,'DATA INPUT'!$A$3:$A$3000,"&gt;="&amp;DATE(2021,1,1),'DATA INPUT'!$A$3:$A$3000,"&lt;"&amp;DATE(2021,1,31),'DATA INPUT'!$F$3:$F$3000,"&lt;&gt;*Exclude*"))))</f>
        <v>#N/A</v>
      </c>
      <c r="AI51" s="136" t="e">
        <f t="shared" si="0"/>
        <v>#N/A</v>
      </c>
      <c r="AJ51" s="136" t="e">
        <f>IF($L$2="Yes",IF(SUMIFS('DATA INPUT'!$D$3:$D$3000,'DATA INPUT'!$A$3:$A$3000,"&gt;="&amp;DATE(2021,1,1),'DATA INPUT'!$A$3:$A$3000,"&lt;"&amp;DATE(2021,1,31),'DATA INPUT'!$G$3:$G$3000,"&lt;&gt;*School service*")=0,#N/A,(SUMIFS('DATA INPUT'!$D$3:$D$3000,'DATA INPUT'!$A$3:$A$3000,"&gt;="&amp;DATE(2021,1,1),'DATA INPUT'!$A$3:$A$3000,"&lt;"&amp;DATE(2021,1,31),'DATA INPUT'!$G$3:$G$3000,"&lt;&gt;*School service*"))),IF(SUMIFS('DATA INPUT'!$D$3:$D$3000,'DATA INPUT'!$A$3:$A$3000,"&gt;="&amp;DATE(2021,1,1),'DATA INPUT'!$A$3:$A$3000,"&lt;"&amp;DATE(2021,1,31),'DATA INPUT'!$F$3:$F$3000,"&lt;&gt;*Exclude*",'DATA INPUT'!$G$3:$G$3000,"&lt;&gt;*School service*")=0,#N/A,(SUMIFS('DATA INPUT'!$D$3:$D$3000,'DATA INPUT'!$A$3:$A$3000,"&gt;="&amp;DATE(2021,1,1),'DATA INPUT'!$A$3:$A$3000,"&lt;"&amp;DATE(2021,1,31),'DATA INPUT'!$F$3:$F$3000,"&lt;&gt;*Exclude*",'DATA INPUT'!$G$3:$G$3000,"&lt;&gt;*School service*"))))</f>
        <v>#N/A</v>
      </c>
      <c r="AK51" s="136" t="e">
        <f>AI51-AJ51</f>
        <v>#N/A</v>
      </c>
      <c r="AM51" s="117" t="e">
        <f>IF($L$2="Yes",IFERROR((SUMIFS('DATA INPUT'!$E$3:$E$3000,'DATA INPUT'!$B$3:$B$3000,'Report Tables'!AM$1,'DATA INPUT'!$A$3:$A$3000,"&gt;="&amp;DATE(2021,1,1),'DATA INPUT'!$A$3:$A$3000,"&lt;"&amp;DATE(2021,1,31)))/COUNTIFS('DATA INPUT'!$B$3:$B$3000,'Report Tables'!AM$1,'DATA INPUT'!$A$3:$A$3000,"&gt;="&amp;DATE(2021,1,1),'DATA INPUT'!$A$3:$A$3000,"&lt;"&amp;DATE(2021,1,31)),#N/A),IFERROR((SUMIFS('DATA INPUT'!$E$3:$E$3000,'DATA INPUT'!$B$3:$B$3000,'Report Tables'!AM$1,'DATA INPUT'!$A$3:$A$3000,"&gt;="&amp;DATE(2021,1,1),'DATA INPUT'!$A$3:$A$3000,"&lt;"&amp;DATE(2021,1,31),'DATA INPUT'!$F$3:$F$3000,"&lt;&gt;*Exclude*"))/(COUNTIFS('DATA INPUT'!$B$3:$B$3000,'Report Tables'!AM$1,'DATA INPUT'!$A$3:$A$3000,"&gt;="&amp;DATE(2021,1,1),'DATA INPUT'!$A$3:$A$3000,"&lt;"&amp;DATE(2021,1,31),'DATA INPUT'!$F$3:$F$3000,"&lt;&gt;*Exclude*")),#N/A))</f>
        <v>#N/A</v>
      </c>
      <c r="AN51" s="117" t="e">
        <f>IF($L$2="Yes",IFERROR((SUMIFS('DATA INPUT'!$E$3:$E$3000,'DATA INPUT'!$B$3:$B$3000,'Report Tables'!AN$1,'DATA INPUT'!$A$3:$A$3000,"&gt;="&amp;DATE(2021,1,1),'DATA INPUT'!$A$3:$A$3000,"&lt;"&amp;DATE(2021,1,31)))/COUNTIFS('DATA INPUT'!$B$3:$B$3000,'Report Tables'!AN$1,'DATA INPUT'!$A$3:$A$3000,"&gt;="&amp;DATE(2021,1,1),'DATA INPUT'!$A$3:$A$3000,"&lt;"&amp;DATE(2021,1,31)),#N/A),IFERROR((SUMIFS('DATA INPUT'!$E$3:$E$3000,'DATA INPUT'!$B$3:$B$3000,'Report Tables'!AN$1,'DATA INPUT'!$A$3:$A$3000,"&gt;="&amp;DATE(2021,1,1),'DATA INPUT'!$A$3:$A$3000,"&lt;"&amp;DATE(2021,1,31),'DATA INPUT'!$F$3:$F$3000,"&lt;&gt;*Exclude*"))/(COUNTIFS('DATA INPUT'!$B$3:$B$3000,'Report Tables'!AN$1,'DATA INPUT'!$A$3:$A$3000,"&gt;="&amp;DATE(2021,1,1),'DATA INPUT'!$A$3:$A$3000,"&lt;"&amp;DATE(2021,1,31),'DATA INPUT'!$F$3:$F$3000,"&lt;&gt;*Exclude*")),#N/A))</f>
        <v>#N/A</v>
      </c>
      <c r="AO51" s="117" t="e">
        <f>IF($L$2="Yes",IFERROR((SUMIFS('DATA INPUT'!$E$3:$E$3000,'DATA INPUT'!$B$3:$B$3000,'Report Tables'!AO$1,'DATA INPUT'!$A$3:$A$3000,"&gt;="&amp;DATE(2021,1,1),'DATA INPUT'!$A$3:$A$3000,"&lt;"&amp;DATE(2021,1,31)))/COUNTIFS('DATA INPUT'!$B$3:$B$3000,'Report Tables'!AO$1,'DATA INPUT'!$A$3:$A$3000,"&gt;="&amp;DATE(2021,1,1),'DATA INPUT'!$A$3:$A$3000,"&lt;"&amp;DATE(2021,1,31)),#N/A),IFERROR((SUMIFS('DATA INPUT'!$E$3:$E$3000,'DATA INPUT'!$B$3:$B$3000,'Report Tables'!AO$1,'DATA INPUT'!$A$3:$A$3000,"&gt;="&amp;DATE(2021,1,1),'DATA INPUT'!$A$3:$A$3000,"&lt;"&amp;DATE(2021,1,31),'DATA INPUT'!$F$3:$F$3000,"&lt;&gt;*Exclude*"))/(COUNTIFS('DATA INPUT'!$B$3:$B$3000,'Report Tables'!AO$1,'DATA INPUT'!$A$3:$A$3000,"&gt;="&amp;DATE(2021,1,1),'DATA INPUT'!$A$3:$A$3000,"&lt;"&amp;DATE(2021,1,31),'DATA INPUT'!$F$3:$F$3000,"&lt;&gt;*Exclude*")),#N/A))</f>
        <v>#N/A</v>
      </c>
      <c r="AP51" s="117" t="e">
        <f>IF($L$2="Yes",IFERROR((SUMIFS('DATA INPUT'!$E$3:$E$3000,'DATA INPUT'!$B$3:$B$3000,'Report Tables'!AP$1,'DATA INPUT'!$A$3:$A$3000,"&gt;="&amp;DATE(2021,1,1),'DATA INPUT'!$A$3:$A$3000,"&lt;"&amp;DATE(2021,1,31)))/COUNTIFS('DATA INPUT'!$B$3:$B$3000,'Report Tables'!AP$1,'DATA INPUT'!$A$3:$A$3000,"&gt;="&amp;DATE(2021,1,1),'DATA INPUT'!$A$3:$A$3000,"&lt;"&amp;DATE(2021,1,31)),#N/A),IFERROR((SUMIFS('DATA INPUT'!$E$3:$E$3000,'DATA INPUT'!$B$3:$B$3000,'Report Tables'!AP$1,'DATA INPUT'!$A$3:$A$3000,"&gt;="&amp;DATE(2021,1,1),'DATA INPUT'!$A$3:$A$3000,"&lt;"&amp;DATE(2021,1,31),'DATA INPUT'!$F$3:$F$3000,"&lt;&gt;*Exclude*"))/(COUNTIFS('DATA INPUT'!$B$3:$B$3000,'Report Tables'!AP$1,'DATA INPUT'!$A$3:$A$3000,"&gt;="&amp;DATE(2021,1,1),'DATA INPUT'!$A$3:$A$3000,"&lt;"&amp;DATE(2021,1,31),'DATA INPUT'!$F$3:$F$3000,"&lt;&gt;*Exclude*")),#N/A))</f>
        <v>#N/A</v>
      </c>
      <c r="AQ51" s="117" t="e">
        <f>IF($L$2="Yes",IFERROR((SUMIFS('DATA INPUT'!$E$3:$E$3000,'DATA INPUT'!$B$3:$B$3000,'Report Tables'!AQ$1,'DATA INPUT'!$A$3:$A$3000,"&gt;="&amp;DATE(2021,1,1),'DATA INPUT'!$A$3:$A$3000,"&lt;"&amp;DATE(2021,1,31)))/COUNTIFS('DATA INPUT'!$B$3:$B$3000,'Report Tables'!AQ$1,'DATA INPUT'!$A$3:$A$3000,"&gt;="&amp;DATE(2021,1,1),'DATA INPUT'!$A$3:$A$3000,"&lt;"&amp;DATE(2021,1,31)),#N/A),IFERROR((SUMIFS('DATA INPUT'!$E$3:$E$3000,'DATA INPUT'!$B$3:$B$3000,'Report Tables'!AQ$1,'DATA INPUT'!$A$3:$A$3000,"&gt;="&amp;DATE(2021,1,1),'DATA INPUT'!$A$3:$A$3000,"&lt;"&amp;DATE(2021,1,31),'DATA INPUT'!$F$3:$F$3000,"&lt;&gt;*Exclude*"))/(COUNTIFS('DATA INPUT'!$B$3:$B$3000,'Report Tables'!AQ$1,'DATA INPUT'!$A$3:$A$3000,"&gt;="&amp;DATE(2021,1,1),'DATA INPUT'!$A$3:$A$3000,"&lt;"&amp;DATE(2021,1,31),'DATA INPUT'!$F$3:$F$3000,"&lt;&gt;*Exclude*")),#N/A))</f>
        <v>#N/A</v>
      </c>
      <c r="AR51" s="117" t="e">
        <f>IF($L$2="Yes",IFERROR((SUMIFS('DATA INPUT'!$E$3:$E$3000,'DATA INPUT'!$B$3:$B$3000,'Report Tables'!AR$1,'DATA INPUT'!$A$3:$A$3000,"&gt;="&amp;DATE(2021,1,1),'DATA INPUT'!$A$3:$A$3000,"&lt;"&amp;DATE(2021,1,31)))/COUNTIFS('DATA INPUT'!$B$3:$B$3000,'Report Tables'!AR$1,'DATA INPUT'!$A$3:$A$3000,"&gt;="&amp;DATE(2021,1,1),'DATA INPUT'!$A$3:$A$3000,"&lt;"&amp;DATE(2021,1,31)),#N/A),IFERROR((SUMIFS('DATA INPUT'!$E$3:$E$3000,'DATA INPUT'!$B$3:$B$3000,'Report Tables'!AR$1,'DATA INPUT'!$A$3:$A$3000,"&gt;="&amp;DATE(2021,1,1),'DATA INPUT'!$A$3:$A$3000,"&lt;"&amp;DATE(2021,1,31),'DATA INPUT'!$F$3:$F$3000,"&lt;&gt;*Exclude*"))/(COUNTIFS('DATA INPUT'!$B$3:$B$3000,'Report Tables'!AR$1,'DATA INPUT'!$A$3:$A$3000,"&gt;="&amp;DATE(2021,1,1),'DATA INPUT'!$A$3:$A$3000,"&lt;"&amp;DATE(2021,1,31),'DATA INPUT'!$F$3:$F$3000,"&lt;&gt;*Exclude*")),#N/A))</f>
        <v>#N/A</v>
      </c>
      <c r="AS51" s="117" t="e">
        <f>IF($L$2="Yes",IFERROR((SUMIFS('DATA INPUT'!$E$3:$E$3000,'DATA INPUT'!$B$3:$B$3000,'Report Tables'!AS$1,'DATA INPUT'!$A$3:$A$3000,"&gt;="&amp;DATE(2021,1,1),'DATA INPUT'!$A$3:$A$3000,"&lt;"&amp;DATE(2021,1,31)))/COUNTIFS('DATA INPUT'!$B$3:$B$3000,'Report Tables'!AS$1,'DATA INPUT'!$A$3:$A$3000,"&gt;="&amp;DATE(2021,1,1),'DATA INPUT'!$A$3:$A$3000,"&lt;"&amp;DATE(2021,1,31)),#N/A),IFERROR((SUMIFS('DATA INPUT'!$E$3:$E$3000,'DATA INPUT'!$B$3:$B$3000,'Report Tables'!AS$1,'DATA INPUT'!$A$3:$A$3000,"&gt;="&amp;DATE(2021,1,1),'DATA INPUT'!$A$3:$A$3000,"&lt;"&amp;DATE(2021,1,31),'DATA INPUT'!$F$3:$F$3000,"&lt;&gt;*Exclude*"))/(COUNTIFS('DATA INPUT'!$B$3:$B$3000,'Report Tables'!AS$1,'DATA INPUT'!$A$3:$A$3000,"&gt;="&amp;DATE(2021,1,1),'DATA INPUT'!$A$3:$A$3000,"&lt;"&amp;DATE(2021,1,31),'DATA INPUT'!$F$3:$F$3000,"&lt;&gt;*Exclude*")),#N/A))</f>
        <v>#N/A</v>
      </c>
      <c r="AT51" s="117" t="e">
        <f>IF($L$2="Yes",IFERROR((SUMIFS('DATA INPUT'!$E$3:$E$3000,'DATA INPUT'!$B$3:$B$3000,'Report Tables'!AT$1,'DATA INPUT'!$A$3:$A$3000,"&gt;="&amp;DATE(2021,1,1),'DATA INPUT'!$A$3:$A$3000,"&lt;"&amp;DATE(2021,1,31)))/COUNTIFS('DATA INPUT'!$B$3:$B$3000,'Report Tables'!AT$1,'DATA INPUT'!$A$3:$A$3000,"&gt;="&amp;DATE(2021,1,1),'DATA INPUT'!$A$3:$A$3000,"&lt;"&amp;DATE(2021,1,31)),#N/A),IFERROR((SUMIFS('DATA INPUT'!$E$3:$E$3000,'DATA INPUT'!$B$3:$B$3000,'Report Tables'!AT$1,'DATA INPUT'!$A$3:$A$3000,"&gt;="&amp;DATE(2021,1,1),'DATA INPUT'!$A$3:$A$3000,"&lt;"&amp;DATE(2021,1,31),'DATA INPUT'!$F$3:$F$3000,"&lt;&gt;*Exclude*"))/(COUNTIFS('DATA INPUT'!$B$3:$B$3000,'Report Tables'!AT$1,'DATA INPUT'!$A$3:$A$3000,"&gt;="&amp;DATE(2021,1,1),'DATA INPUT'!$A$3:$A$3000,"&lt;"&amp;DATE(2021,1,31),'DATA INPUT'!$F$3:$F$3000,"&lt;&gt;*Exclude*")),#N/A))</f>
        <v>#N/A</v>
      </c>
      <c r="AU51" s="117" t="e">
        <f t="shared" si="1"/>
        <v>#N/A</v>
      </c>
      <c r="AV51" s="117" t="e">
        <f>IF($L$2="Yes",IFERROR((SUMIFS('DATA INPUT'!$D$3:$D$3000,'DATA INPUT'!$A$3:$A$3000,"&gt;="&amp;DATE(2021,1,1),'DATA INPUT'!$A$3:$A$3000,"&lt;"&amp;DATE(2021,1,31),'DATA INPUT'!$G$3:$G$3000,"&lt;&gt;*School service*"))/COUNTIFS('DATA INPUT'!$A$3:$A$3000,"&gt;="&amp;DATE(2021,1,1),'DATA INPUT'!$A$3:$A$3000,"&lt;"&amp;DATE(2021,1,31),'DATA INPUT'!$G$3:$G$3000,"&lt;&gt;*School service*",'DATA INPUT'!$D$3:$D$3000,"&lt;&gt;"&amp;""),#N/A),IFERROR((SUMIFS('DATA INPUT'!$D$3:$D$3000,'DATA INPUT'!$A$3:$A$3000,"&gt;="&amp;DATE(2021,1,1),'DATA INPUT'!$A$3:$A$3000,"&lt;"&amp;DATE(2021,1,31),'DATA INPUT'!$F$3:$F$3000,"&lt;&gt;*Exclude*",'DATA INPUT'!$G$3:$G$3000,"&lt;&gt;*School service*"))/(COUNTIFS('DATA INPUT'!$A$3:$A$3000,"&gt;="&amp;DATE(2021,1,1),'DATA INPUT'!$A$3:$A$3000,"&lt;"&amp;DATE(2021,1,31),'DATA INPUT'!$F$3:$F$3000,"&lt;&gt;*Exclude*",'DATA INPUT'!$G$3:$G$3000,"&lt;&gt;*School service*",'DATA INPUT'!$D$3:$D$3000,"&lt;&gt;"&amp;"")),#N/A))</f>
        <v>#N/A</v>
      </c>
      <c r="AW51" s="117" t="e">
        <f t="shared" si="2"/>
        <v>#N/A</v>
      </c>
      <c r="AX51" s="117" t="e">
        <f>IF($L$2="Yes",IFERROR((SUMIFS('DATA INPUT'!$E$3:$E$3000,'DATA INPUT'!$B$3:$B$3000,'Report Tables'!AX$1,'DATA INPUT'!$A$3:$A$3000,"&gt;="&amp;DATE(2021,1,1),'DATA INPUT'!$A$3:$A$3000,"&lt;"&amp;DATE(2021,1,31)))/COUNTIFS('DATA INPUT'!$B$3:$B$3000,'Report Tables'!AX$1,'DATA INPUT'!$A$3:$A$3000,"&gt;="&amp;DATE(2021,1,1),'DATA INPUT'!$A$3:$A$3000,"&lt;"&amp;DATE(2021,1,31)),#N/A),IFERROR((SUMIFS('DATA INPUT'!$E$3:$E$3000,'DATA INPUT'!$B$3:$B$3000,'Report Tables'!AX$1,'DATA INPUT'!$A$3:$A$3000,"&gt;="&amp;DATE(2021,1,1),'DATA INPUT'!$A$3:$A$3000,"&lt;"&amp;DATE(2021,1,31),'DATA INPUT'!$F$3:$F$3000,"&lt;&gt;*Exclude*"))/(COUNTIFS('DATA INPUT'!$B$3:$B$3000,'Report Tables'!AX$1,'DATA INPUT'!$A$3:$A$3000,"&gt;="&amp;DATE(2021,1,1),'DATA INPUT'!$A$3:$A$3000,"&lt;"&amp;DATE(2021,1,31),'DATA INPUT'!$F$3:$F$3000,"&lt;&gt;*Exclude*")),#N/A))</f>
        <v>#N/A</v>
      </c>
      <c r="AY51" s="117" t="e">
        <f>IF($L$2="Yes",IFERROR((SUMIFS('DATA INPUT'!$D$3:$D$3000,'DATA INPUT'!$B$3:$B$3000,'Report Tables'!AX$1,'DATA INPUT'!$A$3:$A$3000,"&gt;="&amp;DATE(2021,1,1),'DATA INPUT'!$A$3:$A$3000,"&lt;"&amp;DATE(2021,1,31)))/COUNTIFS('DATA INPUT'!$B$3:$B$3000,'Report Tables'!AX$1,'DATA INPUT'!$A$3:$A$3000,"&gt;="&amp;DATE(2021,1,1),'DATA INPUT'!$A$3:$A$3000,"&lt;"&amp;DATE(2021,1,31)),#N/A),IFERROR((SUMIFS('DATA INPUT'!$D$3:$D$3000,'DATA INPUT'!$B$3:$B$3000,'Report Tables'!AX$1,'DATA INPUT'!$A$3:$A$3000,"&gt;="&amp;DATE(2021,1,1),'DATA INPUT'!$A$3:$A$3000,"&lt;"&amp;DATE(2021,1,31),'DATA INPUT'!$F$3:$F$3000,"&lt;&gt;*Exclude*"))/(COUNTIFS('DATA INPUT'!$B$3:$B$3000,'Report Tables'!AX$1,'DATA INPUT'!$A$3:$A$3000,"&gt;="&amp;DATE(2021,1,1),'DATA INPUT'!$A$3:$A$3000,"&lt;"&amp;DATE(2021,1,31),'DATA INPUT'!$F$3:$F$3000,"&lt;&gt;*Exclude*")),#N/A))</f>
        <v>#N/A</v>
      </c>
      <c r="AZ51" s="117" t="e">
        <f>IF($L$2="Yes",IFERROR((SUMIFS('DATA INPUT'!$C$3:$C$3000,'DATA INPUT'!$B$3:$B$3000,'Report Tables'!AX$1,'DATA INPUT'!$A$3:$A$3000,"&gt;="&amp;DATE(2021,1,1),'DATA INPUT'!$A$3:$A$3000,"&lt;"&amp;DATE(2021,1,31)))/COUNTIFS('DATA INPUT'!$B$3:$B$3000,'Report Tables'!AX$1,'DATA INPUT'!$A$3:$A$3000,"&gt;="&amp;DATE(2021,1,1),'DATA INPUT'!$A$3:$A$3000,"&lt;"&amp;DATE(2021,1,31)),#N/A),IFERROR((SUMIFS('DATA INPUT'!$C$3:$C$3000,'DATA INPUT'!$B$3:$B$3000,'Report Tables'!AX$1,'DATA INPUT'!$A$3:$A$3000,"&gt;="&amp;DATE(2021,1,1),'DATA INPUT'!$A$3:$A$3000,"&lt;"&amp;DATE(2021,1,31),'DATA INPUT'!$F$3:$F$3000,"&lt;&gt;*Exclude*"))/(COUNTIFS('DATA INPUT'!$B$3:$B$3000,'Report Tables'!AX$1,'DATA INPUT'!$A$3:$A$3000,"&gt;="&amp;DATE(2021,1,1),'DATA INPUT'!$A$3:$A$3000,"&lt;"&amp;DATE(2021,1,31),'DATA INPUT'!$F$3:$F$3000,"&lt;&gt;*Exclude*")),#N/A))</f>
        <v>#N/A</v>
      </c>
    </row>
    <row r="52" spans="1:52" ht="16.2" thickBot="1" x14ac:dyDescent="0.35">
      <c r="B52" s="64" t="s">
        <v>87</v>
      </c>
      <c r="C52" s="26">
        <v>2017</v>
      </c>
      <c r="D52" s="26">
        <v>2018</v>
      </c>
      <c r="E52" s="26">
        <v>2019</v>
      </c>
      <c r="F52" s="26">
        <v>2020</v>
      </c>
      <c r="G52" s="27">
        <v>2021</v>
      </c>
      <c r="H52" s="26">
        <v>2022</v>
      </c>
      <c r="I52" s="26">
        <v>2023</v>
      </c>
      <c r="J52" s="26">
        <v>2024</v>
      </c>
      <c r="K52" s="70">
        <v>2025</v>
      </c>
      <c r="L52" s="71" t="s">
        <v>11</v>
      </c>
      <c r="Y52" s="149"/>
      <c r="Z52" s="149" t="s">
        <v>13</v>
      </c>
      <c r="AA52" s="136" t="e">
        <f>IF($L$2="Yes",IF(SUMIFS('DATA INPUT'!$E$3:$E$3000,'DATA INPUT'!$B$3:$B$3000,'Report Tables'!AA$1,'DATA INPUT'!$A$3:$A$3000,"&gt;="&amp;DATE(2021,2,1),'DATA INPUT'!$A$3:$A$3000,"&lt;"&amp;DATE(2021,2,31))=0,#N/A,(SUMIFS('DATA INPUT'!$E$3:$E$3000,'DATA INPUT'!$B$3:$B$3000,'Report Tables'!AA$1,'DATA INPUT'!$A$3:$A$3000,"&gt;="&amp;DATE(2021,2,1),'DATA INPUT'!$A$3:$A$3000,"&lt;"&amp;DATE(2021,2,31)))),IF(SUMIFS('DATA INPUT'!$E$3:$E$3000,'DATA INPUT'!$B$3:$B$3000,'Report Tables'!AA$1,'DATA INPUT'!$A$3:$A$3000,"&gt;="&amp;DATE(2021,2,1),'DATA INPUT'!$A$3:$A$3000,"&lt;"&amp;DATE(2021,2,31),'DATA INPUT'!$F$3:$F$3000,"&lt;&gt;*Exclude*")=0,#N/A,(SUMIFS('DATA INPUT'!$E$3:$E$3000,'DATA INPUT'!$B$3:$B$3000,'Report Tables'!AA$1,'DATA INPUT'!$A$3:$A$3000,"&gt;="&amp;DATE(2021,2,1),'DATA INPUT'!$A$3:$A$3000,"&lt;"&amp;DATE(2021,2,31),'DATA INPUT'!$F$3:$F$3000,"&lt;&gt;*Exclude*"))))</f>
        <v>#N/A</v>
      </c>
      <c r="AB52" s="136" t="e">
        <f>IF($L$2="Yes",IF(SUMIFS('DATA INPUT'!$E$3:$E$3000,'DATA INPUT'!$B$3:$B$3000,'Report Tables'!AB$1,'DATA INPUT'!$A$3:$A$3000,"&gt;="&amp;DATE(2021,2,1),'DATA INPUT'!$A$3:$A$3000,"&lt;"&amp;DATE(2021,2,31))=0,#N/A,(SUMIFS('DATA INPUT'!$E$3:$E$3000,'DATA INPUT'!$B$3:$B$3000,'Report Tables'!AB$1,'DATA INPUT'!$A$3:$A$3000,"&gt;="&amp;DATE(2021,2,1),'DATA INPUT'!$A$3:$A$3000,"&lt;"&amp;DATE(2021,2,31)))),IF(SUMIFS('DATA INPUT'!$E$3:$E$3000,'DATA INPUT'!$B$3:$B$3000,'Report Tables'!AB$1,'DATA INPUT'!$A$3:$A$3000,"&gt;="&amp;DATE(2021,2,1),'DATA INPUT'!$A$3:$A$3000,"&lt;"&amp;DATE(2021,2,31),'DATA INPUT'!$F$3:$F$3000,"&lt;&gt;*Exclude*")=0,#N/A,(SUMIFS('DATA INPUT'!$E$3:$E$3000,'DATA INPUT'!$B$3:$B$3000,'Report Tables'!AB$1,'DATA INPUT'!$A$3:$A$3000,"&gt;="&amp;DATE(2021,2,1),'DATA INPUT'!$A$3:$A$3000,"&lt;"&amp;DATE(2021,2,31),'DATA INPUT'!$F$3:$F$3000,"&lt;&gt;*Exclude*"))))</f>
        <v>#N/A</v>
      </c>
      <c r="AC52" s="136" t="e">
        <f>IF($L$2="Yes",IF(SUMIFS('DATA INPUT'!$E$3:$E$3000,'DATA INPUT'!$B$3:$B$3000,'Report Tables'!AC$1,'DATA INPUT'!$A$3:$A$3000,"&gt;="&amp;DATE(2021,2,1),'DATA INPUT'!$A$3:$A$3000,"&lt;"&amp;DATE(2021,2,31))=0,#N/A,(SUMIFS('DATA INPUT'!$E$3:$E$3000,'DATA INPUT'!$B$3:$B$3000,'Report Tables'!AC$1,'DATA INPUT'!$A$3:$A$3000,"&gt;="&amp;DATE(2021,2,1),'DATA INPUT'!$A$3:$A$3000,"&lt;"&amp;DATE(2021,2,31)))),IF(SUMIFS('DATA INPUT'!$E$3:$E$3000,'DATA INPUT'!$B$3:$B$3000,'Report Tables'!AC$1,'DATA INPUT'!$A$3:$A$3000,"&gt;="&amp;DATE(2021,2,1),'DATA INPUT'!$A$3:$A$3000,"&lt;"&amp;DATE(2021,2,31),'DATA INPUT'!$F$3:$F$3000,"&lt;&gt;*Exclude*")=0,#N/A,(SUMIFS('DATA INPUT'!$E$3:$E$3000,'DATA INPUT'!$B$3:$B$3000,'Report Tables'!AC$1,'DATA INPUT'!$A$3:$A$3000,"&gt;="&amp;DATE(2021,2,1),'DATA INPUT'!$A$3:$A$3000,"&lt;"&amp;DATE(2021,2,31),'DATA INPUT'!$F$3:$F$3000,"&lt;&gt;*Exclude*"))))</f>
        <v>#N/A</v>
      </c>
      <c r="AD52" s="136" t="e">
        <f>IF($L$2="Yes",IF(SUMIFS('DATA INPUT'!$E$3:$E$3000,'DATA INPUT'!$B$3:$B$3000,'Report Tables'!AD$1,'DATA INPUT'!$A$3:$A$3000,"&gt;="&amp;DATE(2021,2,1),'DATA INPUT'!$A$3:$A$3000,"&lt;"&amp;DATE(2021,2,31))=0,#N/A,(SUMIFS('DATA INPUT'!$E$3:$E$3000,'DATA INPUT'!$B$3:$B$3000,'Report Tables'!AD$1,'DATA INPUT'!$A$3:$A$3000,"&gt;="&amp;DATE(2021,2,1),'DATA INPUT'!$A$3:$A$3000,"&lt;"&amp;DATE(2021,2,31)))),IF(SUMIFS('DATA INPUT'!$E$3:$E$3000,'DATA INPUT'!$B$3:$B$3000,'Report Tables'!AD$1,'DATA INPUT'!$A$3:$A$3000,"&gt;="&amp;DATE(2021,2,1),'DATA INPUT'!$A$3:$A$3000,"&lt;"&amp;DATE(2021,2,31),'DATA INPUT'!$F$3:$F$3000,"&lt;&gt;*Exclude*")=0,#N/A,(SUMIFS('DATA INPUT'!$E$3:$E$3000,'DATA INPUT'!$B$3:$B$3000,'Report Tables'!AD$1,'DATA INPUT'!$A$3:$A$3000,"&gt;="&amp;DATE(2021,2,1),'DATA INPUT'!$A$3:$A$3000,"&lt;"&amp;DATE(2021,2,31),'DATA INPUT'!$F$3:$F$3000,"&lt;&gt;*Exclude*"))))</f>
        <v>#N/A</v>
      </c>
      <c r="AE52" s="136" t="e">
        <f>IF($L$2="Yes",IF(SUMIFS('DATA INPUT'!$E$3:$E$3000,'DATA INPUT'!$B$3:$B$3000,'Report Tables'!AE$1,'DATA INPUT'!$A$3:$A$3000,"&gt;="&amp;DATE(2021,2,1),'DATA INPUT'!$A$3:$A$3000,"&lt;"&amp;DATE(2021,2,31))=0,#N/A,(SUMIFS('DATA INPUT'!$E$3:$E$3000,'DATA INPUT'!$B$3:$B$3000,'Report Tables'!AE$1,'DATA INPUT'!$A$3:$A$3000,"&gt;="&amp;DATE(2021,2,1),'DATA INPUT'!$A$3:$A$3000,"&lt;"&amp;DATE(2021,2,31)))),IF(SUMIFS('DATA INPUT'!$E$3:$E$3000,'DATA INPUT'!$B$3:$B$3000,'Report Tables'!AE$1,'DATA INPUT'!$A$3:$A$3000,"&gt;="&amp;DATE(2021,2,1),'DATA INPUT'!$A$3:$A$3000,"&lt;"&amp;DATE(2021,2,31),'DATA INPUT'!$F$3:$F$3000,"&lt;&gt;*Exclude*")=0,#N/A,(SUMIFS('DATA INPUT'!$E$3:$E$3000,'DATA INPUT'!$B$3:$B$3000,'Report Tables'!AE$1,'DATA INPUT'!$A$3:$A$3000,"&gt;="&amp;DATE(2021,2,1),'DATA INPUT'!$A$3:$A$3000,"&lt;"&amp;DATE(2021,2,31),'DATA INPUT'!$F$3:$F$3000,"&lt;&gt;*Exclude*"))))</f>
        <v>#N/A</v>
      </c>
      <c r="AF52" s="136" t="e">
        <f>IF($L$2="Yes",IF(SUMIFS('DATA INPUT'!$E$3:$E$3000,'DATA INPUT'!$B$3:$B$3000,'Report Tables'!AF$1,'DATA INPUT'!$A$3:$A$3000,"&gt;="&amp;DATE(2021,2,1),'DATA INPUT'!$A$3:$A$3000,"&lt;"&amp;DATE(2021,2,31))=0,#N/A,(SUMIFS('DATA INPUT'!$E$3:$E$3000,'DATA INPUT'!$B$3:$B$3000,'Report Tables'!AF$1,'DATA INPUT'!$A$3:$A$3000,"&gt;="&amp;DATE(2021,2,1),'DATA INPUT'!$A$3:$A$3000,"&lt;"&amp;DATE(2021,2,31)))),IF(SUMIFS('DATA INPUT'!$E$3:$E$3000,'DATA INPUT'!$B$3:$B$3000,'Report Tables'!AF$1,'DATA INPUT'!$A$3:$A$3000,"&gt;="&amp;DATE(2021,2,1),'DATA INPUT'!$A$3:$A$3000,"&lt;"&amp;DATE(2021,2,31),'DATA INPUT'!$F$3:$F$3000,"&lt;&gt;*Exclude*")=0,#N/A,(SUMIFS('DATA INPUT'!$E$3:$E$3000,'DATA INPUT'!$B$3:$B$3000,'Report Tables'!AF$1,'DATA INPUT'!$A$3:$A$3000,"&gt;="&amp;DATE(2021,2,1),'DATA INPUT'!$A$3:$A$3000,"&lt;"&amp;DATE(2021,2,31),'DATA INPUT'!$F$3:$F$3000,"&lt;&gt;*Exclude*"))))</f>
        <v>#N/A</v>
      </c>
      <c r="AG52" s="136" t="e">
        <f>IF($L$2="Yes",IF(SUMIFS('DATA INPUT'!$E$3:$E$3000,'DATA INPUT'!$B$3:$B$3000,'Report Tables'!AG$1,'DATA INPUT'!$A$3:$A$3000,"&gt;="&amp;DATE(2021,2,1),'DATA INPUT'!$A$3:$A$3000,"&lt;"&amp;DATE(2021,2,31))=0,#N/A,(SUMIFS('DATA INPUT'!$E$3:$E$3000,'DATA INPUT'!$B$3:$B$3000,'Report Tables'!AG$1,'DATA INPUT'!$A$3:$A$3000,"&gt;="&amp;DATE(2021,2,1),'DATA INPUT'!$A$3:$A$3000,"&lt;"&amp;DATE(2021,2,31)))),IF(SUMIFS('DATA INPUT'!$E$3:$E$3000,'DATA INPUT'!$B$3:$B$3000,'Report Tables'!AG$1,'DATA INPUT'!$A$3:$A$3000,"&gt;="&amp;DATE(2021,2,1),'DATA INPUT'!$A$3:$A$3000,"&lt;"&amp;DATE(2021,2,31),'DATA INPUT'!$F$3:$F$3000,"&lt;&gt;*Exclude*")=0,#N/A,(SUMIFS('DATA INPUT'!$E$3:$E$3000,'DATA INPUT'!$B$3:$B$3000,'Report Tables'!AG$1,'DATA INPUT'!$A$3:$A$3000,"&gt;="&amp;DATE(2021,2,1),'DATA INPUT'!$A$3:$A$3000,"&lt;"&amp;DATE(2021,2,31),'DATA INPUT'!$F$3:$F$3000,"&lt;&gt;*Exclude*"))))</f>
        <v>#N/A</v>
      </c>
      <c r="AH52" s="136" t="e">
        <f>IF($L$2="Yes",IF(SUMIFS('DATA INPUT'!$E$3:$E$3000,'DATA INPUT'!$B$3:$B$3000,'Report Tables'!AH$1,'DATA INPUT'!$A$3:$A$3000,"&gt;="&amp;DATE(2021,2,1),'DATA INPUT'!$A$3:$A$3000,"&lt;"&amp;DATE(2021,2,31))=0,#N/A,(SUMIFS('DATA INPUT'!$E$3:$E$3000,'DATA INPUT'!$B$3:$B$3000,'Report Tables'!AH$1,'DATA INPUT'!$A$3:$A$3000,"&gt;="&amp;DATE(2021,2,1),'DATA INPUT'!$A$3:$A$3000,"&lt;"&amp;DATE(2021,2,31)))),IF(SUMIFS('DATA INPUT'!$E$3:$E$3000,'DATA INPUT'!$B$3:$B$3000,'Report Tables'!AH$1,'DATA INPUT'!$A$3:$A$3000,"&gt;="&amp;DATE(2021,2,1),'DATA INPUT'!$A$3:$A$3000,"&lt;"&amp;DATE(2021,2,31),'DATA INPUT'!$F$3:$F$3000,"&lt;&gt;*Exclude*")=0,#N/A,(SUMIFS('DATA INPUT'!$E$3:$E$3000,'DATA INPUT'!$B$3:$B$3000,'Report Tables'!AH$1,'DATA INPUT'!$A$3:$A$3000,"&gt;="&amp;DATE(2021,2,1),'DATA INPUT'!$A$3:$A$3000,"&lt;"&amp;DATE(2021,2,31),'DATA INPUT'!$F$3:$F$3000,"&lt;&gt;*Exclude*"))))</f>
        <v>#N/A</v>
      </c>
      <c r="AI52" s="136" t="e">
        <f t="shared" si="0"/>
        <v>#N/A</v>
      </c>
      <c r="AJ52" s="136" t="e">
        <f>IF($L$2="Yes",IF(SUMIFS('DATA INPUT'!$D$3:$D$3000,'DATA INPUT'!$A$3:$A$3000,"&gt;="&amp;DATE(2021,2,1),'DATA INPUT'!$A$3:$A$3000,"&lt;"&amp;DATE(2021,2,31),'DATA INPUT'!$G$3:$G$3000,"&lt;&gt;*School service*")=0,#N/A,(SUMIFS('DATA INPUT'!$D$3:$D$3000,'DATA INPUT'!$A$3:$A$3000,"&gt;="&amp;DATE(2021,2,1),'DATA INPUT'!$A$3:$A$3000,"&lt;"&amp;DATE(2021,2,31),'DATA INPUT'!$G$3:$G$3000,"&lt;&gt;*School service*"))),IF(SUMIFS('DATA INPUT'!$D$3:$D$3000,'DATA INPUT'!$A$3:$A$3000,"&gt;="&amp;DATE(2021,2,1),'DATA INPUT'!$A$3:$A$3000,"&lt;"&amp;DATE(2021,2,31),'DATA INPUT'!$F$3:$F$3000,"&lt;&gt;*Exclude*",'DATA INPUT'!$G$3:$G$3000,"&lt;&gt;*School service*")=0,#N/A,(SUMIFS('DATA INPUT'!$D$3:$D$3000,'DATA INPUT'!$A$3:$A$3000,"&gt;="&amp;DATE(2021,2,1),'DATA INPUT'!$A$3:$A$3000,"&lt;"&amp;DATE(2021,2,31),'DATA INPUT'!$F$3:$F$3000,"&lt;&gt;*Exclude*",'DATA INPUT'!$G$3:$G$3000,"&lt;&gt;*School service*"))))</f>
        <v>#N/A</v>
      </c>
      <c r="AK52" s="136" t="e">
        <f>AI52-AJ52</f>
        <v>#N/A</v>
      </c>
      <c r="AM52" s="117" t="e">
        <f>IF($L$2="Yes",IFERROR((SUMIFS('DATA INPUT'!$E$3:$E$3000,'DATA INPUT'!$B$3:$B$3000,'Report Tables'!AM$1,'DATA INPUT'!$A$3:$A$3000,"&gt;="&amp;DATE(2021,2,1),'DATA INPUT'!$A$3:$A$3000,"&lt;"&amp;DATE(2021,2,31)))/COUNTIFS('DATA INPUT'!$B$3:$B$3000,'Report Tables'!AM$1,'DATA INPUT'!$A$3:$A$3000,"&gt;="&amp;DATE(2021,2,1),'DATA INPUT'!$A$3:$A$3000,"&lt;"&amp;DATE(2021,2,31)),#N/A),IFERROR((SUMIFS('DATA INPUT'!$E$3:$E$3000,'DATA INPUT'!$B$3:$B$3000,'Report Tables'!AM$1,'DATA INPUT'!$A$3:$A$3000,"&gt;="&amp;DATE(2021,2,1),'DATA INPUT'!$A$3:$A$3000,"&lt;"&amp;DATE(2021,2,31),'DATA INPUT'!$F$3:$F$3000,"&lt;&gt;*Exclude*"))/(COUNTIFS('DATA INPUT'!$B$3:$B$3000,'Report Tables'!AM$1,'DATA INPUT'!$A$3:$A$3000,"&gt;="&amp;DATE(2021,2,1),'DATA INPUT'!$A$3:$A$3000,"&lt;"&amp;DATE(2021,2,31),'DATA INPUT'!$F$3:$F$3000,"&lt;&gt;*Exclude*")),#N/A))</f>
        <v>#N/A</v>
      </c>
      <c r="AN52" s="117" t="e">
        <f>IF($L$2="Yes",IFERROR((SUMIFS('DATA INPUT'!$E$3:$E$3000,'DATA INPUT'!$B$3:$B$3000,'Report Tables'!AN$1,'DATA INPUT'!$A$3:$A$3000,"&gt;="&amp;DATE(2021,2,1),'DATA INPUT'!$A$3:$A$3000,"&lt;"&amp;DATE(2021,2,31)))/COUNTIFS('DATA INPUT'!$B$3:$B$3000,'Report Tables'!AN$1,'DATA INPUT'!$A$3:$A$3000,"&gt;="&amp;DATE(2021,2,1),'DATA INPUT'!$A$3:$A$3000,"&lt;"&amp;DATE(2021,2,31)),#N/A),IFERROR((SUMIFS('DATA INPUT'!$E$3:$E$3000,'DATA INPUT'!$B$3:$B$3000,'Report Tables'!AN$1,'DATA INPUT'!$A$3:$A$3000,"&gt;="&amp;DATE(2021,2,1),'DATA INPUT'!$A$3:$A$3000,"&lt;"&amp;DATE(2021,2,31),'DATA INPUT'!$F$3:$F$3000,"&lt;&gt;*Exclude*"))/(COUNTIFS('DATA INPUT'!$B$3:$B$3000,'Report Tables'!AN$1,'DATA INPUT'!$A$3:$A$3000,"&gt;="&amp;DATE(2021,2,1),'DATA INPUT'!$A$3:$A$3000,"&lt;"&amp;DATE(2021,2,31),'DATA INPUT'!$F$3:$F$3000,"&lt;&gt;*Exclude*")),#N/A))</f>
        <v>#N/A</v>
      </c>
      <c r="AO52" s="117" t="e">
        <f>IF($L$2="Yes",IFERROR((SUMIFS('DATA INPUT'!$E$3:$E$3000,'DATA INPUT'!$B$3:$B$3000,'Report Tables'!AO$1,'DATA INPUT'!$A$3:$A$3000,"&gt;="&amp;DATE(2021,2,1),'DATA INPUT'!$A$3:$A$3000,"&lt;"&amp;DATE(2021,2,31)))/COUNTIFS('DATA INPUT'!$B$3:$B$3000,'Report Tables'!AO$1,'DATA INPUT'!$A$3:$A$3000,"&gt;="&amp;DATE(2021,2,1),'DATA INPUT'!$A$3:$A$3000,"&lt;"&amp;DATE(2021,2,31)),#N/A),IFERROR((SUMIFS('DATA INPUT'!$E$3:$E$3000,'DATA INPUT'!$B$3:$B$3000,'Report Tables'!AO$1,'DATA INPUT'!$A$3:$A$3000,"&gt;="&amp;DATE(2021,2,1),'DATA INPUT'!$A$3:$A$3000,"&lt;"&amp;DATE(2021,2,31),'DATA INPUT'!$F$3:$F$3000,"&lt;&gt;*Exclude*"))/(COUNTIFS('DATA INPUT'!$B$3:$B$3000,'Report Tables'!AO$1,'DATA INPUT'!$A$3:$A$3000,"&gt;="&amp;DATE(2021,2,1),'DATA INPUT'!$A$3:$A$3000,"&lt;"&amp;DATE(2021,2,31),'DATA INPUT'!$F$3:$F$3000,"&lt;&gt;*Exclude*")),#N/A))</f>
        <v>#N/A</v>
      </c>
      <c r="AP52" s="117" t="e">
        <f>IF($L$2="Yes",IFERROR((SUMIFS('DATA INPUT'!$E$3:$E$3000,'DATA INPUT'!$B$3:$B$3000,'Report Tables'!AP$1,'DATA INPUT'!$A$3:$A$3000,"&gt;="&amp;DATE(2021,2,1),'DATA INPUT'!$A$3:$A$3000,"&lt;"&amp;DATE(2021,2,31)))/COUNTIFS('DATA INPUT'!$B$3:$B$3000,'Report Tables'!AP$1,'DATA INPUT'!$A$3:$A$3000,"&gt;="&amp;DATE(2021,2,1),'DATA INPUT'!$A$3:$A$3000,"&lt;"&amp;DATE(2021,2,31)),#N/A),IFERROR((SUMIFS('DATA INPUT'!$E$3:$E$3000,'DATA INPUT'!$B$3:$B$3000,'Report Tables'!AP$1,'DATA INPUT'!$A$3:$A$3000,"&gt;="&amp;DATE(2021,2,1),'DATA INPUT'!$A$3:$A$3000,"&lt;"&amp;DATE(2021,2,31),'DATA INPUT'!$F$3:$F$3000,"&lt;&gt;*Exclude*"))/(COUNTIFS('DATA INPUT'!$B$3:$B$3000,'Report Tables'!AP$1,'DATA INPUT'!$A$3:$A$3000,"&gt;="&amp;DATE(2021,2,1),'DATA INPUT'!$A$3:$A$3000,"&lt;"&amp;DATE(2021,2,31),'DATA INPUT'!$F$3:$F$3000,"&lt;&gt;*Exclude*")),#N/A))</f>
        <v>#N/A</v>
      </c>
      <c r="AQ52" s="117" t="e">
        <f>IF($L$2="Yes",IFERROR((SUMIFS('DATA INPUT'!$E$3:$E$3000,'DATA INPUT'!$B$3:$B$3000,'Report Tables'!AQ$1,'DATA INPUT'!$A$3:$A$3000,"&gt;="&amp;DATE(2021,2,1),'DATA INPUT'!$A$3:$A$3000,"&lt;"&amp;DATE(2021,2,31)))/COUNTIFS('DATA INPUT'!$B$3:$B$3000,'Report Tables'!AQ$1,'DATA INPUT'!$A$3:$A$3000,"&gt;="&amp;DATE(2021,2,1),'DATA INPUT'!$A$3:$A$3000,"&lt;"&amp;DATE(2021,2,31)),#N/A),IFERROR((SUMIFS('DATA INPUT'!$E$3:$E$3000,'DATA INPUT'!$B$3:$B$3000,'Report Tables'!AQ$1,'DATA INPUT'!$A$3:$A$3000,"&gt;="&amp;DATE(2021,2,1),'DATA INPUT'!$A$3:$A$3000,"&lt;"&amp;DATE(2021,2,31),'DATA INPUT'!$F$3:$F$3000,"&lt;&gt;*Exclude*"))/(COUNTIFS('DATA INPUT'!$B$3:$B$3000,'Report Tables'!AQ$1,'DATA INPUT'!$A$3:$A$3000,"&gt;="&amp;DATE(2021,2,1),'DATA INPUT'!$A$3:$A$3000,"&lt;"&amp;DATE(2021,2,31),'DATA INPUT'!$F$3:$F$3000,"&lt;&gt;*Exclude*")),#N/A))</f>
        <v>#N/A</v>
      </c>
      <c r="AR52" s="117" t="e">
        <f>IF($L$2="Yes",IFERROR((SUMIFS('DATA INPUT'!$E$3:$E$3000,'DATA INPUT'!$B$3:$B$3000,'Report Tables'!AR$1,'DATA INPUT'!$A$3:$A$3000,"&gt;="&amp;DATE(2021,2,1),'DATA INPUT'!$A$3:$A$3000,"&lt;"&amp;DATE(2021,2,31)))/COUNTIFS('DATA INPUT'!$B$3:$B$3000,'Report Tables'!AR$1,'DATA INPUT'!$A$3:$A$3000,"&gt;="&amp;DATE(2021,2,1),'DATA INPUT'!$A$3:$A$3000,"&lt;"&amp;DATE(2021,2,31)),#N/A),IFERROR((SUMIFS('DATA INPUT'!$E$3:$E$3000,'DATA INPUT'!$B$3:$B$3000,'Report Tables'!AR$1,'DATA INPUT'!$A$3:$A$3000,"&gt;="&amp;DATE(2021,2,1),'DATA INPUT'!$A$3:$A$3000,"&lt;"&amp;DATE(2021,2,31),'DATA INPUT'!$F$3:$F$3000,"&lt;&gt;*Exclude*"))/(COUNTIFS('DATA INPUT'!$B$3:$B$3000,'Report Tables'!AR$1,'DATA INPUT'!$A$3:$A$3000,"&gt;="&amp;DATE(2021,2,1),'DATA INPUT'!$A$3:$A$3000,"&lt;"&amp;DATE(2021,2,31),'DATA INPUT'!$F$3:$F$3000,"&lt;&gt;*Exclude*")),#N/A))</f>
        <v>#N/A</v>
      </c>
      <c r="AS52" s="117" t="e">
        <f>IF($L$2="Yes",IFERROR((SUMIFS('DATA INPUT'!$E$3:$E$3000,'DATA INPUT'!$B$3:$B$3000,'Report Tables'!AS$1,'DATA INPUT'!$A$3:$A$3000,"&gt;="&amp;DATE(2021,2,1),'DATA INPUT'!$A$3:$A$3000,"&lt;"&amp;DATE(2021,2,31)))/COUNTIFS('DATA INPUT'!$B$3:$B$3000,'Report Tables'!AS$1,'DATA INPUT'!$A$3:$A$3000,"&gt;="&amp;DATE(2021,2,1),'DATA INPUT'!$A$3:$A$3000,"&lt;"&amp;DATE(2021,2,31)),#N/A),IFERROR((SUMIFS('DATA INPUT'!$E$3:$E$3000,'DATA INPUT'!$B$3:$B$3000,'Report Tables'!AS$1,'DATA INPUT'!$A$3:$A$3000,"&gt;="&amp;DATE(2021,2,1),'DATA INPUT'!$A$3:$A$3000,"&lt;"&amp;DATE(2021,2,31),'DATA INPUT'!$F$3:$F$3000,"&lt;&gt;*Exclude*"))/(COUNTIFS('DATA INPUT'!$B$3:$B$3000,'Report Tables'!AS$1,'DATA INPUT'!$A$3:$A$3000,"&gt;="&amp;DATE(2021,2,1),'DATA INPUT'!$A$3:$A$3000,"&lt;"&amp;DATE(2021,2,31),'DATA INPUT'!$F$3:$F$3000,"&lt;&gt;*Exclude*")),#N/A))</f>
        <v>#N/A</v>
      </c>
      <c r="AT52" s="117" t="e">
        <f>IF($L$2="Yes",IFERROR((SUMIFS('DATA INPUT'!$E$3:$E$3000,'DATA INPUT'!$B$3:$B$3000,'Report Tables'!AT$1,'DATA INPUT'!$A$3:$A$3000,"&gt;="&amp;DATE(2021,2,1),'DATA INPUT'!$A$3:$A$3000,"&lt;"&amp;DATE(2021,2,31)))/COUNTIFS('DATA INPUT'!$B$3:$B$3000,'Report Tables'!AT$1,'DATA INPUT'!$A$3:$A$3000,"&gt;="&amp;DATE(2021,2,1),'DATA INPUT'!$A$3:$A$3000,"&lt;"&amp;DATE(2021,2,31)),#N/A),IFERROR((SUMIFS('DATA INPUT'!$E$3:$E$3000,'DATA INPUT'!$B$3:$B$3000,'Report Tables'!AT$1,'DATA INPUT'!$A$3:$A$3000,"&gt;="&amp;DATE(2021,2,1),'DATA INPUT'!$A$3:$A$3000,"&lt;"&amp;DATE(2021,2,31),'DATA INPUT'!$F$3:$F$3000,"&lt;&gt;*Exclude*"))/(COUNTIFS('DATA INPUT'!$B$3:$B$3000,'Report Tables'!AT$1,'DATA INPUT'!$A$3:$A$3000,"&gt;="&amp;DATE(2021,2,1),'DATA INPUT'!$A$3:$A$3000,"&lt;"&amp;DATE(2021,2,31),'DATA INPUT'!$F$3:$F$3000,"&lt;&gt;*Exclude*")),#N/A))</f>
        <v>#N/A</v>
      </c>
      <c r="AU52" s="117" t="e">
        <f t="shared" si="1"/>
        <v>#N/A</v>
      </c>
      <c r="AV52" s="117" t="e">
        <f>IF($L$2="Yes",IFERROR((SUMIFS('DATA INPUT'!$D$3:$D$3000,'DATA INPUT'!$A$3:$A$3000,"&gt;="&amp;DATE(2021,2,1),'DATA INPUT'!$A$3:$A$3000,"&lt;"&amp;DATE(2021,2,31),'DATA INPUT'!$G$3:$G$3000,"&lt;&gt;*School service*"))/COUNTIFS('DATA INPUT'!$A$3:$A$3000,"&gt;="&amp;DATE(2021,2,1),'DATA INPUT'!$A$3:$A$3000,"&lt;"&amp;DATE(2021,2,31),'DATA INPUT'!$G$3:$G$3000,"&lt;&gt;*School service*",'DATA INPUT'!$D$3:$D$3000,"&lt;&gt;"&amp;""),#N/A),IFERROR((SUMIFS('DATA INPUT'!$D$3:$D$3000,'DATA INPUT'!$A$3:$A$3000,"&gt;="&amp;DATE(2021,2,1),'DATA INPUT'!$A$3:$A$3000,"&lt;"&amp;DATE(2021,2,31),'DATA INPUT'!$F$3:$F$3000,"&lt;&gt;*Exclude*",'DATA INPUT'!$G$3:$G$3000,"&lt;&gt;*School service*"))/(COUNTIFS('DATA INPUT'!$A$3:$A$3000,"&gt;="&amp;DATE(2021,2,1),'DATA INPUT'!$A$3:$A$3000,"&lt;"&amp;DATE(2021,2,31),'DATA INPUT'!$F$3:$F$3000,"&lt;&gt;*Exclude*",'DATA INPUT'!$G$3:$G$3000,"&lt;&gt;*School service*",'DATA INPUT'!$D$3:$D$3000,"&lt;&gt;"&amp;"")),#N/A))</f>
        <v>#N/A</v>
      </c>
      <c r="AW52" s="117" t="e">
        <f t="shared" si="2"/>
        <v>#N/A</v>
      </c>
      <c r="AX52" s="117" t="e">
        <f>IF($L$2="Yes",IFERROR((SUMIFS('DATA INPUT'!$E$3:$E$3000,'DATA INPUT'!$B$3:$B$3000,'Report Tables'!AX$1,'DATA INPUT'!$A$3:$A$3000,"&gt;="&amp;DATE(2021,2,1),'DATA INPUT'!$A$3:$A$3000,"&lt;"&amp;DATE(2021,2,31)))/COUNTIFS('DATA INPUT'!$B$3:$B$3000,'Report Tables'!AX$1,'DATA INPUT'!$A$3:$A$3000,"&gt;="&amp;DATE(2021,2,1),'DATA INPUT'!$A$3:$A$3000,"&lt;"&amp;DATE(2021,2,31)),#N/A),IFERROR((SUMIFS('DATA INPUT'!$E$3:$E$3000,'DATA INPUT'!$B$3:$B$3000,'Report Tables'!AX$1,'DATA INPUT'!$A$3:$A$3000,"&gt;="&amp;DATE(2021,2,1),'DATA INPUT'!$A$3:$A$3000,"&lt;"&amp;DATE(2021,2,31),'DATA INPUT'!$F$3:$F$3000,"&lt;&gt;*Exclude*"))/(COUNTIFS('DATA INPUT'!$B$3:$B$3000,'Report Tables'!AX$1,'DATA INPUT'!$A$3:$A$3000,"&gt;="&amp;DATE(2021,2,1),'DATA INPUT'!$A$3:$A$3000,"&lt;"&amp;DATE(2021,2,31),'DATA INPUT'!$F$3:$F$3000,"&lt;&gt;*Exclude*")),#N/A))</f>
        <v>#N/A</v>
      </c>
      <c r="AY52" s="117" t="e">
        <f>IF($L$2="Yes",IFERROR((SUMIFS('DATA INPUT'!$D$3:$D$3000,'DATA INPUT'!$B$3:$B$3000,'Report Tables'!AX$1,'DATA INPUT'!$A$3:$A$3000,"&gt;="&amp;DATE(2021,2,1),'DATA INPUT'!$A$3:$A$3000,"&lt;"&amp;DATE(2021,2,31)))/COUNTIFS('DATA INPUT'!$B$3:$B$3000,'Report Tables'!AX$1,'DATA INPUT'!$A$3:$A$3000,"&gt;="&amp;DATE(2021,2,1),'DATA INPUT'!$A$3:$A$3000,"&lt;"&amp;DATE(2021,2,31)),#N/A),IFERROR((SUMIFS('DATA INPUT'!$D$3:$D$3000,'DATA INPUT'!$B$3:$B$3000,'Report Tables'!AX$1,'DATA INPUT'!$A$3:$A$3000,"&gt;="&amp;DATE(2021,2,1),'DATA INPUT'!$A$3:$A$3000,"&lt;"&amp;DATE(2021,2,31),'DATA INPUT'!$F$3:$F$3000,"&lt;&gt;*Exclude*"))/(COUNTIFS('DATA INPUT'!$B$3:$B$3000,'Report Tables'!AX$1,'DATA INPUT'!$A$3:$A$3000,"&gt;="&amp;DATE(2021,2,1),'DATA INPUT'!$A$3:$A$3000,"&lt;"&amp;DATE(2021,2,31),'DATA INPUT'!$F$3:$F$3000,"&lt;&gt;*Exclude*")),#N/A))</f>
        <v>#N/A</v>
      </c>
      <c r="AZ52" s="117" t="e">
        <f>IF($L$2="Yes",IFERROR((SUMIFS('DATA INPUT'!$C$3:$C$3000,'DATA INPUT'!$B$3:$B$3000,'Report Tables'!AX$1,'DATA INPUT'!$A$3:$A$3000,"&gt;="&amp;DATE(2021,2,1),'DATA INPUT'!$A$3:$A$3000,"&lt;"&amp;DATE(2021,2,31)))/COUNTIFS('DATA INPUT'!$B$3:$B$3000,'Report Tables'!AX$1,'DATA INPUT'!$A$3:$A$3000,"&gt;="&amp;DATE(2021,2,1),'DATA INPUT'!$A$3:$A$3000,"&lt;"&amp;DATE(2021,2,31)),#N/A),IFERROR((SUMIFS('DATA INPUT'!$C$3:$C$3000,'DATA INPUT'!$B$3:$B$3000,'Report Tables'!AX$1,'DATA INPUT'!$A$3:$A$3000,"&gt;="&amp;DATE(2021,2,1),'DATA INPUT'!$A$3:$A$3000,"&lt;"&amp;DATE(2021,2,31),'DATA INPUT'!$F$3:$F$3000,"&lt;&gt;*Exclude*"))/(COUNTIFS('DATA INPUT'!$B$3:$B$3000,'Report Tables'!AX$1,'DATA INPUT'!$A$3:$A$3000,"&gt;="&amp;DATE(2021,2,1),'DATA INPUT'!$A$3:$A$3000,"&lt;"&amp;DATE(2021,2,31),'DATA INPUT'!$F$3:$F$3000,"&lt;&gt;*Exclude*")),#N/A))</f>
        <v>#N/A</v>
      </c>
    </row>
    <row r="53" spans="1:52" x14ac:dyDescent="0.3">
      <c r="A53" s="95" t="e">
        <f>VLOOKUP(B53,Information!$C$8:$F$15,4,FALSE)</f>
        <v>#N/A</v>
      </c>
      <c r="B53" s="53">
        <f>$B$5</f>
        <v>0</v>
      </c>
      <c r="C53" s="58" t="e">
        <f>IF($L$2="Yes",(SUMIFS('DATA INPUT'!$D$3:$D$3000,'DATA INPUT'!$A$3:$A$3000,"&gt;="&amp;DATE(2017,1,1),'DATA INPUT'!$A$3:$A$3000,"&lt;="&amp;DATE(2017,12,31),'DATA INPUT'!$B$3:$B$3000,$B53))/(COUNTIFS('DATA INPUT'!$A$3:$A$3000,"&gt;="&amp;DATE(2017,1,1),'DATA INPUT'!$A$3:$A$3000,"&lt;="&amp;DATE(2017,12,31),'DATA INPUT'!$B$3:$B$3000,$B53)),(SUMIFS('DATA INPUT'!$D$3:$D$3000,'DATA INPUT'!$A$3:$A$3000,"&gt;="&amp;DATE(2017,1,1),'DATA INPUT'!$A$3:$A$3000,"&lt;="&amp;DATE(2017,12,31),'DATA INPUT'!$B$3:$B$3000,$B53,'DATA INPUT'!$F$3:$F$3000,"&lt;&gt;*Exclude*"))/(COUNTIFS('DATA INPUT'!$A$3:$A$3000,"&gt;="&amp;DATE(2017,1,1),'DATA INPUT'!$A$3:$A$3000,"&lt;="&amp;DATE(2017,12,31),'DATA INPUT'!$B$3:$B$3000,$B53,'DATA INPUT'!$F$3:$F$3000,"&lt;&gt;*Exclude*")))</f>
        <v>#DIV/0!</v>
      </c>
      <c r="D53" s="58" t="e">
        <f>IF($L$2="Yes",(SUMIFS('DATA INPUT'!$D$3:$D$3000,'DATA INPUT'!$A$3:$A$3000,"&gt;="&amp;DATE(2018,1,1),'DATA INPUT'!$A$3:$A$3000,"&lt;="&amp;DATE(2018,12,31),'DATA INPUT'!$B$3:$B$3000,$B53))/(COUNTIFS('DATA INPUT'!$A$3:$A$3000,"&gt;="&amp;DATE(2018,1,1),'DATA INPUT'!$A$3:$A$3000,"&lt;="&amp;DATE(2018,12,31),'DATA INPUT'!$B$3:$B$3000,$B53)),(SUMIFS('DATA INPUT'!$D$3:$D$3000,'DATA INPUT'!$A$3:$A$3000,"&gt;="&amp;DATE(2018,1,1),'DATA INPUT'!$A$3:$A$3000,"&lt;="&amp;DATE(2018,12,31),'DATA INPUT'!$B$3:$B$3000,$B53,'DATA INPUT'!$F$3:$F$3000,"&lt;&gt;*Exclude*"))/(COUNTIFS('DATA INPUT'!$A$3:$A$3000,"&gt;="&amp;DATE(2018,1,1),'DATA INPUT'!$A$3:$A$3000,"&lt;="&amp;DATE(2018,12,31),'DATA INPUT'!$B$3:$B$3000,$B53,'DATA INPUT'!$F$3:$F$3000,"&lt;&gt;*Exclude*")))</f>
        <v>#DIV/0!</v>
      </c>
      <c r="E53" s="58" t="e">
        <f>IF($L$2="Yes",(SUMIFS('DATA INPUT'!$D$3:$D$3000,'DATA INPUT'!$A$3:$A$3000,"&gt;="&amp;DATE(2019,1,1),'DATA INPUT'!$A$3:$A$3000,"&lt;="&amp;DATE(2019,12,31),'DATA INPUT'!$B$3:$B$3000,$B53))/(COUNTIFS('DATA INPUT'!$A$3:$A$3000,"&gt;="&amp;DATE(2019,1,1),'DATA INPUT'!$A$3:$A$3000,"&lt;="&amp;DATE(2019,12,31),'DATA INPUT'!$B$3:$B$3000,$B53)),(SUMIFS('DATA INPUT'!$D$3:$D$3000,'DATA INPUT'!$A$3:$A$3000,"&gt;="&amp;DATE(2019,1,1),'DATA INPUT'!$A$3:$A$3000,"&lt;="&amp;DATE(2019,12,31),'DATA INPUT'!$B$3:$B$3000,$B53,'DATA INPUT'!$F$3:$F$3000,"&lt;&gt;*Exclude*"))/(COUNTIFS('DATA INPUT'!$A$3:$A$3000,"&gt;="&amp;DATE(2019,1,1),'DATA INPUT'!$A$3:$A$3000,"&lt;="&amp;DATE(2019,12,31),'DATA INPUT'!$B$3:$B$3000,$B53,'DATA INPUT'!$F$3:$F$3000,"&lt;&gt;*Exclude*")))</f>
        <v>#DIV/0!</v>
      </c>
      <c r="F53" s="58" t="e">
        <f>IF($L$2="Yes",(SUMIFS('DATA INPUT'!$D$3:$D$3000,'DATA INPUT'!$A$3:$A$3000,"&gt;="&amp;DATE(2020,1,1),'DATA INPUT'!$A$3:$A$3000,"&lt;="&amp;DATE(2020,12,31),'DATA INPUT'!$B$3:$B$3000,$B53))/(COUNTIFS('DATA INPUT'!$A$3:$A$3000,"&gt;="&amp;DATE(2020,1,1),'DATA INPUT'!$A$3:$A$3000,"&lt;="&amp;DATE(2020,12,31),'DATA INPUT'!$B$3:$B$3000,$B53)),(SUMIFS('DATA INPUT'!$D$3:$D$3000,'DATA INPUT'!$A$3:$A$3000,"&gt;="&amp;DATE(2020,1,1),'DATA INPUT'!$A$3:$A$3000,"&lt;="&amp;DATE(2020,12,31),'DATA INPUT'!$B$3:$B$3000,$B53,'DATA INPUT'!$F$3:$F$3000,"&lt;&gt;*Exclude*"))/(COUNTIFS('DATA INPUT'!$A$3:$A$3000,"&gt;="&amp;DATE(2020,1,1),'DATA INPUT'!$A$3:$A$3000,"&lt;="&amp;DATE(2020,12,31),'DATA INPUT'!$B$3:$B$3000,$B53,'DATA INPUT'!$F$3:$F$3000,"&lt;&gt;*Exclude*")))</f>
        <v>#DIV/0!</v>
      </c>
      <c r="G53" s="58" t="e">
        <f>IF($L$2="Yes",(SUMIFS('DATA INPUT'!$D$3:$D$3000,'DATA INPUT'!$A$3:$A$3000,"&gt;="&amp;DATE(2021,1,1),'DATA INPUT'!$A$3:$A$3000,"&lt;="&amp;DATE(2021,12,31),'DATA INPUT'!$B$3:$B$3000,$B53))/(COUNTIFS('DATA INPUT'!$A$3:$A$3000,"&gt;="&amp;DATE(2021,1,1),'DATA INPUT'!$A$3:$A$3000,"&lt;="&amp;DATE(2021,12,31),'DATA INPUT'!$B$3:$B$3000,$B53)),(SUMIFS('DATA INPUT'!$D$3:$D$3000,'DATA INPUT'!$A$3:$A$3000,"&gt;="&amp;DATE(2021,1,1),'DATA INPUT'!$A$3:$A$3000,"&lt;="&amp;DATE(2021,12,31),'DATA INPUT'!$B$3:$B$3000,$B53,'DATA INPUT'!$F$3:$F$3000,"&lt;&gt;*Exclude*"))/(COUNTIFS('DATA INPUT'!$A$3:$A$3000,"&gt;="&amp;DATE(2021,1,1),'DATA INPUT'!$A$3:$A$3000,"&lt;="&amp;DATE(2021,12,31),'DATA INPUT'!$B$3:$B$3000,$B53,'DATA INPUT'!$F$3:$F$3000,"&lt;&gt;*Exclude*")))</f>
        <v>#DIV/0!</v>
      </c>
      <c r="H53" s="58" t="e">
        <f>IF($L$2="Yes",(SUMIFS('DATA INPUT'!$D$3:$D$3000,'DATA INPUT'!$A$3:$A$3000,"&gt;="&amp;DATE(2022,1,1),'DATA INPUT'!$A$3:$A$3000,"&lt;="&amp;DATE(2022,12,31),'DATA INPUT'!$B$3:$B$3000,$B53))/(COUNTIFS('DATA INPUT'!$A$3:$A$3000,"&gt;="&amp;DATE(2022,1,1),'DATA INPUT'!$A$3:$A$3000,"&lt;="&amp;DATE(2022,12,31),'DATA INPUT'!$B$3:$B$3000,$B53)),(SUMIFS('DATA INPUT'!$D$3:$D$3000,'DATA INPUT'!$A$3:$A$3000,"&gt;="&amp;DATE(2022,1,1),'DATA INPUT'!$A$3:$A$3000,"&lt;="&amp;DATE(2022,12,31),'DATA INPUT'!$B$3:$B$3000,$B53,'DATA INPUT'!$F$3:$F$3000,"&lt;&gt;*Exclude*"))/(COUNTIFS('DATA INPUT'!$A$3:$A$3000,"&gt;="&amp;DATE(2022,1,1),'DATA INPUT'!$A$3:$A$3000,"&lt;="&amp;DATE(2022,12,31),'DATA INPUT'!$B$3:$B$3000,$B53,'DATA INPUT'!$F$3:$F$3000,"&lt;&gt;*Exclude*")))</f>
        <v>#DIV/0!</v>
      </c>
      <c r="I53" s="58" t="e">
        <f>IF($L$2="Yes",(SUMIFS('DATA INPUT'!$D$3:$D$3000,'DATA INPUT'!$A$3:$A$3000,"&gt;="&amp;DATE(2023,1,1),'DATA INPUT'!$A$3:$A$3000,"&lt;="&amp;DATE(2023,12,31),'DATA INPUT'!$B$3:$B$3000,$B53))/(COUNTIFS('DATA INPUT'!$A$3:$A$3000,"&gt;="&amp;DATE(2023,1,1),'DATA INPUT'!$A$3:$A$3000,"&lt;="&amp;DATE(2023,12,31),'DATA INPUT'!$B$3:$B$3000,$B53)),(SUMIFS('DATA INPUT'!$D$3:$D$3000,'DATA INPUT'!$A$3:$A$3000,"&gt;="&amp;DATE(2023,1,1),'DATA INPUT'!$A$3:$A$3000,"&lt;="&amp;DATE(2023,12,31),'DATA INPUT'!$B$3:$B$3000,$B53,'DATA INPUT'!$F$3:$F$3000,"&lt;&gt;*Exclude*"))/(COUNTIFS('DATA INPUT'!$A$3:$A$3000,"&gt;="&amp;DATE(2023,1,1),'DATA INPUT'!$A$3:$A$3000,"&lt;="&amp;DATE(2023,12,31),'DATA INPUT'!$B$3:$B$3000,$B53,'DATA INPUT'!$F$3:$F$3000,"&lt;&gt;*Exclude*")))</f>
        <v>#DIV/0!</v>
      </c>
      <c r="J53" s="58" t="e">
        <f>IF($L$2="Yes",(SUMIFS('DATA INPUT'!$D$3:$D$3000,'DATA INPUT'!$A$3:$A$3000,"&gt;="&amp;DATE(2024,1,1),'DATA INPUT'!$A$3:$A$3000,"&lt;="&amp;DATE(2024,12,31),'DATA INPUT'!$B$3:$B$3000,$B53))/(COUNTIFS('DATA INPUT'!$A$3:$A$3000,"&gt;="&amp;DATE(2024,1,1),'DATA INPUT'!$A$3:$A$3000,"&lt;="&amp;DATE(2024,12,31),'DATA INPUT'!$B$3:$B$3000,$B53)),(SUMIFS('DATA INPUT'!$D$3:$D$3000,'DATA INPUT'!$A$3:$A$3000,"&gt;="&amp;DATE(2024,1,1),'DATA INPUT'!$A$3:$A$3000,"&lt;="&amp;DATE(2024,12,31),'DATA INPUT'!$B$3:$B$3000,$B53,'DATA INPUT'!$F$3:$F$3000,"&lt;&gt;*Exclude*"))/(COUNTIFS('DATA INPUT'!$A$3:$A$3000,"&gt;="&amp;DATE(2024,1,1),'DATA INPUT'!$A$3:$A$3000,"&lt;="&amp;DATE(2024,12,31),'DATA INPUT'!$B$3:$B$3000,$B53,'DATA INPUT'!$F$3:$F$3000,"&lt;&gt;*Exclude*")))</f>
        <v>#DIV/0!</v>
      </c>
      <c r="K53" s="58" t="e">
        <f>IF($L$2="Yes",(SUMIFS('DATA INPUT'!$D$3:$D$3000,'DATA INPUT'!$A$3:$A$3000,"&gt;="&amp;DATE(2025,1,1),'DATA INPUT'!$A$3:$A$3000,"&lt;="&amp;DATE(2025,12,31),'DATA INPUT'!$B$3:$B$3000,$B53))/(COUNTIFS('DATA INPUT'!$A$3:$A$3000,"&gt;="&amp;DATE(2025,1,1),'DATA INPUT'!$A$3:$A$3000,"&lt;="&amp;DATE(2025,12,31),'DATA INPUT'!$B$3:$B$3000,$B53)),(SUMIFS('DATA INPUT'!$D$3:$D$3000,'DATA INPUT'!$A$3:$A$3000,"&gt;="&amp;DATE(2025,1,1),'DATA INPUT'!$A$3:$A$3000,"&lt;="&amp;DATE(2025,12,31),'DATA INPUT'!$B$3:$B$3000,$B53,'DATA INPUT'!$F$3:$F$3000,"&lt;&gt;*Exclude*"))/(COUNTIFS('DATA INPUT'!$A$3:$A$3000,"&gt;="&amp;DATE(2025,1,1),'DATA INPUT'!$A$3:$A$3000,"&lt;="&amp;DATE(2025,12,31),'DATA INPUT'!$B$3:$B$3000,$B53,'DATA INPUT'!$F$3:$F$3000,"&lt;&gt;*Exclude*")))</f>
        <v>#DIV/0!</v>
      </c>
      <c r="L53" s="72" t="str">
        <f t="shared" ref="L53:L61" si="20">IFERROR(SUMIFS(C53:K53,C53:K53,"&lt;&gt;#DIV/0!",C53:K53,"&lt;&gt;#n/a")/(COUNTIF(C53:K53,"&gt;0")),"")</f>
        <v/>
      </c>
      <c r="Y53" s="149"/>
      <c r="Z53" s="149" t="s">
        <v>14</v>
      </c>
      <c r="AA53" s="136" t="e">
        <f>IF($L$2="Yes",IF(SUMIFS('DATA INPUT'!$E$3:$E$3000,'DATA INPUT'!$B$3:$B$3000,'Report Tables'!AA$1,'DATA INPUT'!$A$3:$A$3000,"&gt;="&amp;DATE(2021,3,1),'DATA INPUT'!$A$3:$A$3000,"&lt;"&amp;DATE(2021,3,31))=0,#N/A,(SUMIFS('DATA INPUT'!$E$3:$E$3000,'DATA INPUT'!$B$3:$B$3000,'Report Tables'!AA$1,'DATA INPUT'!$A$3:$A$3000,"&gt;="&amp;DATE(2021,3,1),'DATA INPUT'!$A$3:$A$3000,"&lt;"&amp;DATE(2021,3,31)))),IF(SUMIFS('DATA INPUT'!$E$3:$E$3000,'DATA INPUT'!$B$3:$B$3000,'Report Tables'!AA$1,'DATA INPUT'!$A$3:$A$3000,"&gt;="&amp;DATE(2021,3,1),'DATA INPUT'!$A$3:$A$3000,"&lt;"&amp;DATE(2021,3,31),'DATA INPUT'!$F$3:$F$3000,"&lt;&gt;*Exclude*")=0,#N/A,(SUMIFS('DATA INPUT'!$E$3:$E$3000,'DATA INPUT'!$B$3:$B$3000,'Report Tables'!AA$1,'DATA INPUT'!$A$3:$A$3000,"&gt;="&amp;DATE(2021,3,1),'DATA INPUT'!$A$3:$A$3000,"&lt;"&amp;DATE(2021,3,31),'DATA INPUT'!$F$3:$F$3000,"&lt;&gt;*Exclude*"))))</f>
        <v>#N/A</v>
      </c>
      <c r="AB53" s="136" t="e">
        <f>IF($L$2="Yes",IF(SUMIFS('DATA INPUT'!$E$3:$E$3000,'DATA INPUT'!$B$3:$B$3000,'Report Tables'!AB$1,'DATA INPUT'!$A$3:$A$3000,"&gt;="&amp;DATE(2021,3,1),'DATA INPUT'!$A$3:$A$3000,"&lt;"&amp;DATE(2021,3,31))=0,#N/A,(SUMIFS('DATA INPUT'!$E$3:$E$3000,'DATA INPUT'!$B$3:$B$3000,'Report Tables'!AB$1,'DATA INPUT'!$A$3:$A$3000,"&gt;="&amp;DATE(2021,3,1),'DATA INPUT'!$A$3:$A$3000,"&lt;"&amp;DATE(2021,3,31)))),IF(SUMIFS('DATA INPUT'!$E$3:$E$3000,'DATA INPUT'!$B$3:$B$3000,'Report Tables'!AB$1,'DATA INPUT'!$A$3:$A$3000,"&gt;="&amp;DATE(2021,3,1),'DATA INPUT'!$A$3:$A$3000,"&lt;"&amp;DATE(2021,3,31),'DATA INPUT'!$F$3:$F$3000,"&lt;&gt;*Exclude*")=0,#N/A,(SUMIFS('DATA INPUT'!$E$3:$E$3000,'DATA INPUT'!$B$3:$B$3000,'Report Tables'!AB$1,'DATA INPUT'!$A$3:$A$3000,"&gt;="&amp;DATE(2021,3,1),'DATA INPUT'!$A$3:$A$3000,"&lt;"&amp;DATE(2021,3,31),'DATA INPUT'!$F$3:$F$3000,"&lt;&gt;*Exclude*"))))</f>
        <v>#N/A</v>
      </c>
      <c r="AC53" s="136" t="e">
        <f>IF($L$2="Yes",IF(SUMIFS('DATA INPUT'!$E$3:$E$3000,'DATA INPUT'!$B$3:$B$3000,'Report Tables'!AC$1,'DATA INPUT'!$A$3:$A$3000,"&gt;="&amp;DATE(2021,3,1),'DATA INPUT'!$A$3:$A$3000,"&lt;"&amp;DATE(2021,3,31))=0,#N/A,(SUMIFS('DATA INPUT'!$E$3:$E$3000,'DATA INPUT'!$B$3:$B$3000,'Report Tables'!AC$1,'DATA INPUT'!$A$3:$A$3000,"&gt;="&amp;DATE(2021,3,1),'DATA INPUT'!$A$3:$A$3000,"&lt;"&amp;DATE(2021,3,31)))),IF(SUMIFS('DATA INPUT'!$E$3:$E$3000,'DATA INPUT'!$B$3:$B$3000,'Report Tables'!AC$1,'DATA INPUT'!$A$3:$A$3000,"&gt;="&amp;DATE(2021,3,1),'DATA INPUT'!$A$3:$A$3000,"&lt;"&amp;DATE(2021,3,31),'DATA INPUT'!$F$3:$F$3000,"&lt;&gt;*Exclude*")=0,#N/A,(SUMIFS('DATA INPUT'!$E$3:$E$3000,'DATA INPUT'!$B$3:$B$3000,'Report Tables'!AC$1,'DATA INPUT'!$A$3:$A$3000,"&gt;="&amp;DATE(2021,3,1),'DATA INPUT'!$A$3:$A$3000,"&lt;"&amp;DATE(2021,3,31),'DATA INPUT'!$F$3:$F$3000,"&lt;&gt;*Exclude*"))))</f>
        <v>#N/A</v>
      </c>
      <c r="AD53" s="136" t="e">
        <f>IF($L$2="Yes",IF(SUMIFS('DATA INPUT'!$E$3:$E$3000,'DATA INPUT'!$B$3:$B$3000,'Report Tables'!AD$1,'DATA INPUT'!$A$3:$A$3000,"&gt;="&amp;DATE(2021,3,1),'DATA INPUT'!$A$3:$A$3000,"&lt;"&amp;DATE(2021,3,31))=0,#N/A,(SUMIFS('DATA INPUT'!$E$3:$E$3000,'DATA INPUT'!$B$3:$B$3000,'Report Tables'!AD$1,'DATA INPUT'!$A$3:$A$3000,"&gt;="&amp;DATE(2021,3,1),'DATA INPUT'!$A$3:$A$3000,"&lt;"&amp;DATE(2021,3,31)))),IF(SUMIFS('DATA INPUT'!$E$3:$E$3000,'DATA INPUT'!$B$3:$B$3000,'Report Tables'!AD$1,'DATA INPUT'!$A$3:$A$3000,"&gt;="&amp;DATE(2021,3,1),'DATA INPUT'!$A$3:$A$3000,"&lt;"&amp;DATE(2021,3,31),'DATA INPUT'!$F$3:$F$3000,"&lt;&gt;*Exclude*")=0,#N/A,(SUMIFS('DATA INPUT'!$E$3:$E$3000,'DATA INPUT'!$B$3:$B$3000,'Report Tables'!AD$1,'DATA INPUT'!$A$3:$A$3000,"&gt;="&amp;DATE(2021,3,1),'DATA INPUT'!$A$3:$A$3000,"&lt;"&amp;DATE(2021,3,31),'DATA INPUT'!$F$3:$F$3000,"&lt;&gt;*Exclude*"))))</f>
        <v>#N/A</v>
      </c>
      <c r="AE53" s="136" t="e">
        <f>IF($L$2="Yes",IF(SUMIFS('DATA INPUT'!$E$3:$E$3000,'DATA INPUT'!$B$3:$B$3000,'Report Tables'!AE$1,'DATA INPUT'!$A$3:$A$3000,"&gt;="&amp;DATE(2021,3,1),'DATA INPUT'!$A$3:$A$3000,"&lt;"&amp;DATE(2021,3,31))=0,#N/A,(SUMIFS('DATA INPUT'!$E$3:$E$3000,'DATA INPUT'!$B$3:$B$3000,'Report Tables'!AE$1,'DATA INPUT'!$A$3:$A$3000,"&gt;="&amp;DATE(2021,3,1),'DATA INPUT'!$A$3:$A$3000,"&lt;"&amp;DATE(2021,3,31)))),IF(SUMIFS('DATA INPUT'!$E$3:$E$3000,'DATA INPUT'!$B$3:$B$3000,'Report Tables'!AE$1,'DATA INPUT'!$A$3:$A$3000,"&gt;="&amp;DATE(2021,3,1),'DATA INPUT'!$A$3:$A$3000,"&lt;"&amp;DATE(2021,3,31),'DATA INPUT'!$F$3:$F$3000,"&lt;&gt;*Exclude*")=0,#N/A,(SUMIFS('DATA INPUT'!$E$3:$E$3000,'DATA INPUT'!$B$3:$B$3000,'Report Tables'!AE$1,'DATA INPUT'!$A$3:$A$3000,"&gt;="&amp;DATE(2021,3,1),'DATA INPUT'!$A$3:$A$3000,"&lt;"&amp;DATE(2021,3,31),'DATA INPUT'!$F$3:$F$3000,"&lt;&gt;*Exclude*"))))</f>
        <v>#N/A</v>
      </c>
      <c r="AF53" s="136" t="e">
        <f>IF($L$2="Yes",IF(SUMIFS('DATA INPUT'!$E$3:$E$3000,'DATA INPUT'!$B$3:$B$3000,'Report Tables'!AF$1,'DATA INPUT'!$A$3:$A$3000,"&gt;="&amp;DATE(2021,3,1),'DATA INPUT'!$A$3:$A$3000,"&lt;"&amp;DATE(2021,3,31))=0,#N/A,(SUMIFS('DATA INPUT'!$E$3:$E$3000,'DATA INPUT'!$B$3:$B$3000,'Report Tables'!AF$1,'DATA INPUT'!$A$3:$A$3000,"&gt;="&amp;DATE(2021,3,1),'DATA INPUT'!$A$3:$A$3000,"&lt;"&amp;DATE(2021,3,31)))),IF(SUMIFS('DATA INPUT'!$E$3:$E$3000,'DATA INPUT'!$B$3:$B$3000,'Report Tables'!AF$1,'DATA INPUT'!$A$3:$A$3000,"&gt;="&amp;DATE(2021,3,1),'DATA INPUT'!$A$3:$A$3000,"&lt;"&amp;DATE(2021,3,31),'DATA INPUT'!$F$3:$F$3000,"&lt;&gt;*Exclude*")=0,#N/A,(SUMIFS('DATA INPUT'!$E$3:$E$3000,'DATA INPUT'!$B$3:$B$3000,'Report Tables'!AF$1,'DATA INPUT'!$A$3:$A$3000,"&gt;="&amp;DATE(2021,3,1),'DATA INPUT'!$A$3:$A$3000,"&lt;"&amp;DATE(2021,3,31),'DATA INPUT'!$F$3:$F$3000,"&lt;&gt;*Exclude*"))))</f>
        <v>#N/A</v>
      </c>
      <c r="AG53" s="136" t="e">
        <f>IF($L$2="Yes",IF(SUMIFS('DATA INPUT'!$E$3:$E$3000,'DATA INPUT'!$B$3:$B$3000,'Report Tables'!AG$1,'DATA INPUT'!$A$3:$A$3000,"&gt;="&amp;DATE(2021,3,1),'DATA INPUT'!$A$3:$A$3000,"&lt;"&amp;DATE(2021,3,31))=0,#N/A,(SUMIFS('DATA INPUT'!$E$3:$E$3000,'DATA INPUT'!$B$3:$B$3000,'Report Tables'!AG$1,'DATA INPUT'!$A$3:$A$3000,"&gt;="&amp;DATE(2021,3,1),'DATA INPUT'!$A$3:$A$3000,"&lt;"&amp;DATE(2021,3,31)))),IF(SUMIFS('DATA INPUT'!$E$3:$E$3000,'DATA INPUT'!$B$3:$B$3000,'Report Tables'!AG$1,'DATA INPUT'!$A$3:$A$3000,"&gt;="&amp;DATE(2021,3,1),'DATA INPUT'!$A$3:$A$3000,"&lt;"&amp;DATE(2021,3,31),'DATA INPUT'!$F$3:$F$3000,"&lt;&gt;*Exclude*")=0,#N/A,(SUMIFS('DATA INPUT'!$E$3:$E$3000,'DATA INPUT'!$B$3:$B$3000,'Report Tables'!AG$1,'DATA INPUT'!$A$3:$A$3000,"&gt;="&amp;DATE(2021,3,1),'DATA INPUT'!$A$3:$A$3000,"&lt;"&amp;DATE(2021,3,31),'DATA INPUT'!$F$3:$F$3000,"&lt;&gt;*Exclude*"))))</f>
        <v>#N/A</v>
      </c>
      <c r="AH53" s="136" t="e">
        <f>IF($L$2="Yes",IF(SUMIFS('DATA INPUT'!$E$3:$E$3000,'DATA INPUT'!$B$3:$B$3000,'Report Tables'!AH$1,'DATA INPUT'!$A$3:$A$3000,"&gt;="&amp;DATE(2021,3,1),'DATA INPUT'!$A$3:$A$3000,"&lt;"&amp;DATE(2021,3,31))=0,#N/A,(SUMIFS('DATA INPUT'!$E$3:$E$3000,'DATA INPUT'!$B$3:$B$3000,'Report Tables'!AH$1,'DATA INPUT'!$A$3:$A$3000,"&gt;="&amp;DATE(2021,3,1),'DATA INPUT'!$A$3:$A$3000,"&lt;"&amp;DATE(2021,3,31)))),IF(SUMIFS('DATA INPUT'!$E$3:$E$3000,'DATA INPUT'!$B$3:$B$3000,'Report Tables'!AH$1,'DATA INPUT'!$A$3:$A$3000,"&gt;="&amp;DATE(2021,3,1),'DATA INPUT'!$A$3:$A$3000,"&lt;"&amp;DATE(2021,3,31),'DATA INPUT'!$F$3:$F$3000,"&lt;&gt;*Exclude*")=0,#N/A,(SUMIFS('DATA INPUT'!$E$3:$E$3000,'DATA INPUT'!$B$3:$B$3000,'Report Tables'!AH$1,'DATA INPUT'!$A$3:$A$3000,"&gt;="&amp;DATE(2021,3,1),'DATA INPUT'!$A$3:$A$3000,"&lt;"&amp;DATE(2021,3,31),'DATA INPUT'!$F$3:$F$3000,"&lt;&gt;*Exclude*"))))</f>
        <v>#N/A</v>
      </c>
      <c r="AI53" s="136" t="e">
        <f t="shared" si="0"/>
        <v>#N/A</v>
      </c>
      <c r="AJ53" s="136" t="e">
        <f>IF($L$2="Yes",IF(SUMIFS('DATA INPUT'!$D$3:$D$3000,'DATA INPUT'!$A$3:$A$3000,"&gt;="&amp;DATE(2021,3,1),'DATA INPUT'!$A$3:$A$3000,"&lt;"&amp;DATE(2021,3,31),'DATA INPUT'!$G$3:$G$3000,"&lt;&gt;*School service*")=0,#N/A,(SUMIFS('DATA INPUT'!$D$3:$D$3000,'DATA INPUT'!$A$3:$A$3000,"&gt;="&amp;DATE(2021,3,1),'DATA INPUT'!$A$3:$A$3000,"&lt;"&amp;DATE(2021,3,31),'DATA INPUT'!$G$3:$G$3000,"&lt;&gt;*School service*"))),IF(SUMIFS('DATA INPUT'!$D$3:$D$3000,'DATA INPUT'!$A$3:$A$3000,"&gt;="&amp;DATE(2021,3,1),'DATA INPUT'!$A$3:$A$3000,"&lt;"&amp;DATE(2021,3,31),'DATA INPUT'!$F$3:$F$3000,"&lt;&gt;*Exclude*",'DATA INPUT'!$G$3:$G$3000,"&lt;&gt;*School service*")=0,#N/A,(SUMIFS('DATA INPUT'!$D$3:$D$3000,'DATA INPUT'!$A$3:$A$3000,"&gt;="&amp;DATE(2021,3,1),'DATA INPUT'!$A$3:$A$3000,"&lt;"&amp;DATE(2021,3,31),'DATA INPUT'!$F$3:$F$3000,"&lt;&gt;*Exclude*",'DATA INPUT'!$G$3:$G$3000,"&lt;&gt;*School service*"))))</f>
        <v>#N/A</v>
      </c>
      <c r="AK53" s="136" t="e">
        <f>AI53-AJ53</f>
        <v>#N/A</v>
      </c>
      <c r="AM53" s="117" t="e">
        <f>IF($L$2="Yes",IFERROR((SUMIFS('DATA INPUT'!$E$3:$E$3000,'DATA INPUT'!$B$3:$B$3000,'Report Tables'!AM$1,'DATA INPUT'!$A$3:$A$3000,"&gt;="&amp;DATE(2021,3,1),'DATA INPUT'!$A$3:$A$3000,"&lt;"&amp;DATE(2021,3,31)))/COUNTIFS('DATA INPUT'!$B$3:$B$3000,'Report Tables'!AM$1,'DATA INPUT'!$A$3:$A$3000,"&gt;="&amp;DATE(2021,3,1),'DATA INPUT'!$A$3:$A$3000,"&lt;"&amp;DATE(2021,3,31)),#N/A),IFERROR((SUMIFS('DATA INPUT'!$E$3:$E$3000,'DATA INPUT'!$B$3:$B$3000,'Report Tables'!AM$1,'DATA INPUT'!$A$3:$A$3000,"&gt;="&amp;DATE(2021,3,1),'DATA INPUT'!$A$3:$A$3000,"&lt;"&amp;DATE(2021,3,31),'DATA INPUT'!$F$3:$F$3000,"&lt;&gt;*Exclude*"))/(COUNTIFS('DATA INPUT'!$B$3:$B$3000,'Report Tables'!AM$1,'DATA INPUT'!$A$3:$A$3000,"&gt;="&amp;DATE(2021,3,1),'DATA INPUT'!$A$3:$A$3000,"&lt;"&amp;DATE(2021,3,31),'DATA INPUT'!$F$3:$F$3000,"&lt;&gt;*Exclude*")),#N/A))</f>
        <v>#N/A</v>
      </c>
      <c r="AN53" s="117" t="e">
        <f>IF($L$2="Yes",IFERROR((SUMIFS('DATA INPUT'!$E$3:$E$3000,'DATA INPUT'!$B$3:$B$3000,'Report Tables'!AN$1,'DATA INPUT'!$A$3:$A$3000,"&gt;="&amp;DATE(2021,3,1),'DATA INPUT'!$A$3:$A$3000,"&lt;"&amp;DATE(2021,3,31)))/COUNTIFS('DATA INPUT'!$B$3:$B$3000,'Report Tables'!AN$1,'DATA INPUT'!$A$3:$A$3000,"&gt;="&amp;DATE(2021,3,1),'DATA INPUT'!$A$3:$A$3000,"&lt;"&amp;DATE(2021,3,31)),#N/A),IFERROR((SUMIFS('DATA INPUT'!$E$3:$E$3000,'DATA INPUT'!$B$3:$B$3000,'Report Tables'!AN$1,'DATA INPUT'!$A$3:$A$3000,"&gt;="&amp;DATE(2021,3,1),'DATA INPUT'!$A$3:$A$3000,"&lt;"&amp;DATE(2021,3,31),'DATA INPUT'!$F$3:$F$3000,"&lt;&gt;*Exclude*"))/(COUNTIFS('DATA INPUT'!$B$3:$B$3000,'Report Tables'!AN$1,'DATA INPUT'!$A$3:$A$3000,"&gt;="&amp;DATE(2021,3,1),'DATA INPUT'!$A$3:$A$3000,"&lt;"&amp;DATE(2021,3,31),'DATA INPUT'!$F$3:$F$3000,"&lt;&gt;*Exclude*")),#N/A))</f>
        <v>#N/A</v>
      </c>
      <c r="AO53" s="117" t="e">
        <f>IF($L$2="Yes",IFERROR((SUMIFS('DATA INPUT'!$E$3:$E$3000,'DATA INPUT'!$B$3:$B$3000,'Report Tables'!AO$1,'DATA INPUT'!$A$3:$A$3000,"&gt;="&amp;DATE(2021,3,1),'DATA INPUT'!$A$3:$A$3000,"&lt;"&amp;DATE(2021,3,31)))/COUNTIFS('DATA INPUT'!$B$3:$B$3000,'Report Tables'!AO$1,'DATA INPUT'!$A$3:$A$3000,"&gt;="&amp;DATE(2021,3,1),'DATA INPUT'!$A$3:$A$3000,"&lt;"&amp;DATE(2021,3,31)),#N/A),IFERROR((SUMIFS('DATA INPUT'!$E$3:$E$3000,'DATA INPUT'!$B$3:$B$3000,'Report Tables'!AO$1,'DATA INPUT'!$A$3:$A$3000,"&gt;="&amp;DATE(2021,3,1),'DATA INPUT'!$A$3:$A$3000,"&lt;"&amp;DATE(2021,3,31),'DATA INPUT'!$F$3:$F$3000,"&lt;&gt;*Exclude*"))/(COUNTIFS('DATA INPUT'!$B$3:$B$3000,'Report Tables'!AO$1,'DATA INPUT'!$A$3:$A$3000,"&gt;="&amp;DATE(2021,3,1),'DATA INPUT'!$A$3:$A$3000,"&lt;"&amp;DATE(2021,3,31),'DATA INPUT'!$F$3:$F$3000,"&lt;&gt;*Exclude*")),#N/A))</f>
        <v>#N/A</v>
      </c>
      <c r="AP53" s="117" t="e">
        <f>IF($L$2="Yes",IFERROR((SUMIFS('DATA INPUT'!$E$3:$E$3000,'DATA INPUT'!$B$3:$B$3000,'Report Tables'!AP$1,'DATA INPUT'!$A$3:$A$3000,"&gt;="&amp;DATE(2021,3,1),'DATA INPUT'!$A$3:$A$3000,"&lt;"&amp;DATE(2021,3,31)))/COUNTIFS('DATA INPUT'!$B$3:$B$3000,'Report Tables'!AP$1,'DATA INPUT'!$A$3:$A$3000,"&gt;="&amp;DATE(2021,3,1),'DATA INPUT'!$A$3:$A$3000,"&lt;"&amp;DATE(2021,3,31)),#N/A),IFERROR((SUMIFS('DATA INPUT'!$E$3:$E$3000,'DATA INPUT'!$B$3:$B$3000,'Report Tables'!AP$1,'DATA INPUT'!$A$3:$A$3000,"&gt;="&amp;DATE(2021,3,1),'DATA INPUT'!$A$3:$A$3000,"&lt;"&amp;DATE(2021,3,31),'DATA INPUT'!$F$3:$F$3000,"&lt;&gt;*Exclude*"))/(COUNTIFS('DATA INPUT'!$B$3:$B$3000,'Report Tables'!AP$1,'DATA INPUT'!$A$3:$A$3000,"&gt;="&amp;DATE(2021,3,1),'DATA INPUT'!$A$3:$A$3000,"&lt;"&amp;DATE(2021,3,31),'DATA INPUT'!$F$3:$F$3000,"&lt;&gt;*Exclude*")),#N/A))</f>
        <v>#N/A</v>
      </c>
      <c r="AQ53" s="117" t="e">
        <f>IF($L$2="Yes",IFERROR((SUMIFS('DATA INPUT'!$E$3:$E$3000,'DATA INPUT'!$B$3:$B$3000,'Report Tables'!AQ$1,'DATA INPUT'!$A$3:$A$3000,"&gt;="&amp;DATE(2021,3,1),'DATA INPUT'!$A$3:$A$3000,"&lt;"&amp;DATE(2021,3,31)))/COUNTIFS('DATA INPUT'!$B$3:$B$3000,'Report Tables'!AQ$1,'DATA INPUT'!$A$3:$A$3000,"&gt;="&amp;DATE(2021,3,1),'DATA INPUT'!$A$3:$A$3000,"&lt;"&amp;DATE(2021,3,31)),#N/A),IFERROR((SUMIFS('DATA INPUT'!$E$3:$E$3000,'DATA INPUT'!$B$3:$B$3000,'Report Tables'!AQ$1,'DATA INPUT'!$A$3:$A$3000,"&gt;="&amp;DATE(2021,3,1),'DATA INPUT'!$A$3:$A$3000,"&lt;"&amp;DATE(2021,3,31),'DATA INPUT'!$F$3:$F$3000,"&lt;&gt;*Exclude*"))/(COUNTIFS('DATA INPUT'!$B$3:$B$3000,'Report Tables'!AQ$1,'DATA INPUT'!$A$3:$A$3000,"&gt;="&amp;DATE(2021,3,1),'DATA INPUT'!$A$3:$A$3000,"&lt;"&amp;DATE(2021,3,31),'DATA INPUT'!$F$3:$F$3000,"&lt;&gt;*Exclude*")),#N/A))</f>
        <v>#N/A</v>
      </c>
      <c r="AR53" s="117" t="e">
        <f>IF($L$2="Yes",IFERROR((SUMIFS('DATA INPUT'!$E$3:$E$3000,'DATA INPUT'!$B$3:$B$3000,'Report Tables'!AR$1,'DATA INPUT'!$A$3:$A$3000,"&gt;="&amp;DATE(2021,3,1),'DATA INPUT'!$A$3:$A$3000,"&lt;"&amp;DATE(2021,3,31)))/COUNTIFS('DATA INPUT'!$B$3:$B$3000,'Report Tables'!AR$1,'DATA INPUT'!$A$3:$A$3000,"&gt;="&amp;DATE(2021,3,1),'DATA INPUT'!$A$3:$A$3000,"&lt;"&amp;DATE(2021,3,31)),#N/A),IFERROR((SUMIFS('DATA INPUT'!$E$3:$E$3000,'DATA INPUT'!$B$3:$B$3000,'Report Tables'!AR$1,'DATA INPUT'!$A$3:$A$3000,"&gt;="&amp;DATE(2021,3,1),'DATA INPUT'!$A$3:$A$3000,"&lt;"&amp;DATE(2021,3,31),'DATA INPUT'!$F$3:$F$3000,"&lt;&gt;*Exclude*"))/(COUNTIFS('DATA INPUT'!$B$3:$B$3000,'Report Tables'!AR$1,'DATA INPUT'!$A$3:$A$3000,"&gt;="&amp;DATE(2021,3,1),'DATA INPUT'!$A$3:$A$3000,"&lt;"&amp;DATE(2021,3,31),'DATA INPUT'!$F$3:$F$3000,"&lt;&gt;*Exclude*")),#N/A))</f>
        <v>#N/A</v>
      </c>
      <c r="AS53" s="117" t="e">
        <f>IF($L$2="Yes",IFERROR((SUMIFS('DATA INPUT'!$E$3:$E$3000,'DATA INPUT'!$B$3:$B$3000,'Report Tables'!AS$1,'DATA INPUT'!$A$3:$A$3000,"&gt;="&amp;DATE(2021,3,1),'DATA INPUT'!$A$3:$A$3000,"&lt;"&amp;DATE(2021,3,31)))/COUNTIFS('DATA INPUT'!$B$3:$B$3000,'Report Tables'!AS$1,'DATA INPUT'!$A$3:$A$3000,"&gt;="&amp;DATE(2021,3,1),'DATA INPUT'!$A$3:$A$3000,"&lt;"&amp;DATE(2021,3,31)),#N/A),IFERROR((SUMIFS('DATA INPUT'!$E$3:$E$3000,'DATA INPUT'!$B$3:$B$3000,'Report Tables'!AS$1,'DATA INPUT'!$A$3:$A$3000,"&gt;="&amp;DATE(2021,3,1),'DATA INPUT'!$A$3:$A$3000,"&lt;"&amp;DATE(2021,3,31),'DATA INPUT'!$F$3:$F$3000,"&lt;&gt;*Exclude*"))/(COUNTIFS('DATA INPUT'!$B$3:$B$3000,'Report Tables'!AS$1,'DATA INPUT'!$A$3:$A$3000,"&gt;="&amp;DATE(2021,3,1),'DATA INPUT'!$A$3:$A$3000,"&lt;"&amp;DATE(2021,3,31),'DATA INPUT'!$F$3:$F$3000,"&lt;&gt;*Exclude*")),#N/A))</f>
        <v>#N/A</v>
      </c>
      <c r="AT53" s="117" t="e">
        <f>IF($L$2="Yes",IFERROR((SUMIFS('DATA INPUT'!$E$3:$E$3000,'DATA INPUT'!$B$3:$B$3000,'Report Tables'!AT$1,'DATA INPUT'!$A$3:$A$3000,"&gt;="&amp;DATE(2021,3,1),'DATA INPUT'!$A$3:$A$3000,"&lt;"&amp;DATE(2021,3,31)))/COUNTIFS('DATA INPUT'!$B$3:$B$3000,'Report Tables'!AT$1,'DATA INPUT'!$A$3:$A$3000,"&gt;="&amp;DATE(2021,3,1),'DATA INPUT'!$A$3:$A$3000,"&lt;"&amp;DATE(2021,3,31)),#N/A),IFERROR((SUMIFS('DATA INPUT'!$E$3:$E$3000,'DATA INPUT'!$B$3:$B$3000,'Report Tables'!AT$1,'DATA INPUT'!$A$3:$A$3000,"&gt;="&amp;DATE(2021,3,1),'DATA INPUT'!$A$3:$A$3000,"&lt;"&amp;DATE(2021,3,31),'DATA INPUT'!$F$3:$F$3000,"&lt;&gt;*Exclude*"))/(COUNTIFS('DATA INPUT'!$B$3:$B$3000,'Report Tables'!AT$1,'DATA INPUT'!$A$3:$A$3000,"&gt;="&amp;DATE(2021,3,1),'DATA INPUT'!$A$3:$A$3000,"&lt;"&amp;DATE(2021,3,31),'DATA INPUT'!$F$3:$F$3000,"&lt;&gt;*Exclude*")),#N/A))</f>
        <v>#N/A</v>
      </c>
      <c r="AU53" s="117" t="e">
        <f t="shared" si="1"/>
        <v>#N/A</v>
      </c>
      <c r="AV53" s="117" t="e">
        <f>IF($L$2="Yes",IFERROR((SUMIFS('DATA INPUT'!$D$3:$D$3000,'DATA INPUT'!$A$3:$A$3000,"&gt;="&amp;DATE(2021,3,1),'DATA INPUT'!$A$3:$A$3000,"&lt;"&amp;DATE(2021,3,31),'DATA INPUT'!$G$3:$G$3000,"&lt;&gt;*School service*"))/COUNTIFS('DATA INPUT'!$A$3:$A$3000,"&gt;="&amp;DATE(2021,3,1),'DATA INPUT'!$A$3:$A$3000,"&lt;"&amp;DATE(2021,3,31),'DATA INPUT'!$G$3:$G$3000,"&lt;&gt;*School service*",'DATA INPUT'!$D$3:$D$3000,"&lt;&gt;"&amp;""),#N/A),IFERROR((SUMIFS('DATA INPUT'!$D$3:$D$3000,'DATA INPUT'!$A$3:$A$3000,"&gt;="&amp;DATE(2021,3,1),'DATA INPUT'!$A$3:$A$3000,"&lt;"&amp;DATE(2021,3,31),'DATA INPUT'!$F$3:$F$3000,"&lt;&gt;*Exclude*",'DATA INPUT'!$G$3:$G$3000,"&lt;&gt;*School service*"))/(COUNTIFS('DATA INPUT'!$A$3:$A$3000,"&gt;="&amp;DATE(2021,3,1),'DATA INPUT'!$A$3:$A$3000,"&lt;"&amp;DATE(2021,3,31),'DATA INPUT'!$F$3:$F$3000,"&lt;&gt;*Exclude*",'DATA INPUT'!$G$3:$G$3000,"&lt;&gt;*School service*",'DATA INPUT'!$D$3:$D$3000,"&lt;&gt;"&amp;"")),#N/A))</f>
        <v>#N/A</v>
      </c>
      <c r="AW53" s="117" t="e">
        <f t="shared" si="2"/>
        <v>#N/A</v>
      </c>
      <c r="AX53" s="117" t="e">
        <f>IF($L$2="Yes",IFERROR((SUMIFS('DATA INPUT'!$E$3:$E$3000,'DATA INPUT'!$B$3:$B$3000,'Report Tables'!AX$1,'DATA INPUT'!$A$3:$A$3000,"&gt;="&amp;DATE(2021,3,1),'DATA INPUT'!$A$3:$A$3000,"&lt;"&amp;DATE(2021,3,31)))/COUNTIFS('DATA INPUT'!$B$3:$B$3000,'Report Tables'!AX$1,'DATA INPUT'!$A$3:$A$3000,"&gt;="&amp;DATE(2021,3,1),'DATA INPUT'!$A$3:$A$3000,"&lt;"&amp;DATE(2021,3,31)),#N/A),IFERROR((SUMIFS('DATA INPUT'!$E$3:$E$3000,'DATA INPUT'!$B$3:$B$3000,'Report Tables'!AX$1,'DATA INPUT'!$A$3:$A$3000,"&gt;="&amp;DATE(2021,3,1),'DATA INPUT'!$A$3:$A$3000,"&lt;"&amp;DATE(2021,3,31),'DATA INPUT'!$F$3:$F$3000,"&lt;&gt;*Exclude*"))/(COUNTIFS('DATA INPUT'!$B$3:$B$3000,'Report Tables'!AX$1,'DATA INPUT'!$A$3:$A$3000,"&gt;="&amp;DATE(2021,3,1),'DATA INPUT'!$A$3:$A$3000,"&lt;"&amp;DATE(2021,3,31),'DATA INPUT'!$F$3:$F$3000,"&lt;&gt;*Exclude*")),#N/A))</f>
        <v>#N/A</v>
      </c>
      <c r="AY53" s="117" t="e">
        <f>IF($L$2="Yes",IFERROR((SUMIFS('DATA INPUT'!$D$3:$D$3000,'DATA INPUT'!$B$3:$B$3000,'Report Tables'!AX$1,'DATA INPUT'!$A$3:$A$3000,"&gt;="&amp;DATE(2021,3,1),'DATA INPUT'!$A$3:$A$3000,"&lt;"&amp;DATE(2021,3,31)))/COUNTIFS('DATA INPUT'!$B$3:$B$3000,'Report Tables'!AX$1,'DATA INPUT'!$A$3:$A$3000,"&gt;="&amp;DATE(2021,3,1),'DATA INPUT'!$A$3:$A$3000,"&lt;"&amp;DATE(2021,3,31)),#N/A),IFERROR((SUMIFS('DATA INPUT'!$D$3:$D$3000,'DATA INPUT'!$B$3:$B$3000,'Report Tables'!AX$1,'DATA INPUT'!$A$3:$A$3000,"&gt;="&amp;DATE(2021,3,1),'DATA INPUT'!$A$3:$A$3000,"&lt;"&amp;DATE(2021,3,31),'DATA INPUT'!$F$3:$F$3000,"&lt;&gt;*Exclude*"))/(COUNTIFS('DATA INPUT'!$B$3:$B$3000,'Report Tables'!AX$1,'DATA INPUT'!$A$3:$A$3000,"&gt;="&amp;DATE(2021,3,1),'DATA INPUT'!$A$3:$A$3000,"&lt;"&amp;DATE(2021,3,31),'DATA INPUT'!$F$3:$F$3000,"&lt;&gt;*Exclude*")),#N/A))</f>
        <v>#N/A</v>
      </c>
      <c r="AZ53" s="117" t="e">
        <f>IF($L$2="Yes",IFERROR((SUMIFS('DATA INPUT'!$C$3:$C$3000,'DATA INPUT'!$B$3:$B$3000,'Report Tables'!AX$1,'DATA INPUT'!$A$3:$A$3000,"&gt;="&amp;DATE(2021,3,1),'DATA INPUT'!$A$3:$A$3000,"&lt;"&amp;DATE(2021,3,31)))/COUNTIFS('DATA INPUT'!$B$3:$B$3000,'Report Tables'!AX$1,'DATA INPUT'!$A$3:$A$3000,"&gt;="&amp;DATE(2021,3,1),'DATA INPUT'!$A$3:$A$3000,"&lt;"&amp;DATE(2021,3,31)),#N/A),IFERROR((SUMIFS('DATA INPUT'!$C$3:$C$3000,'DATA INPUT'!$B$3:$B$3000,'Report Tables'!AX$1,'DATA INPUT'!$A$3:$A$3000,"&gt;="&amp;DATE(2021,3,1),'DATA INPUT'!$A$3:$A$3000,"&lt;"&amp;DATE(2021,3,31),'DATA INPUT'!$F$3:$F$3000,"&lt;&gt;*Exclude*"))/(COUNTIFS('DATA INPUT'!$B$3:$B$3000,'Report Tables'!AX$1,'DATA INPUT'!$A$3:$A$3000,"&gt;="&amp;DATE(2021,3,1),'DATA INPUT'!$A$3:$A$3000,"&lt;"&amp;DATE(2021,3,31),'DATA INPUT'!$F$3:$F$3000,"&lt;&gt;*Exclude*")),#N/A))</f>
        <v>#N/A</v>
      </c>
    </row>
    <row r="54" spans="1:52" x14ac:dyDescent="0.3">
      <c r="A54" s="95" t="e">
        <f>VLOOKUP(B54,Information!$C$8:$F$15,4,FALSE)</f>
        <v>#N/A</v>
      </c>
      <c r="B54" s="53">
        <f>$B$6</f>
        <v>0</v>
      </c>
      <c r="C54" s="58" t="e">
        <f>IF($L$2="Yes",(SUMIFS('DATA INPUT'!$D$3:$D$3000,'DATA INPUT'!$A$3:$A$3000,"&gt;="&amp;DATE(2017,1,1),'DATA INPUT'!$A$3:$A$3000,"&lt;="&amp;DATE(2017,12,31),'DATA INPUT'!$B$3:$B$3000,$B54))/(COUNTIFS('DATA INPUT'!$A$3:$A$3000,"&gt;="&amp;DATE(2017,1,1),'DATA INPUT'!$A$3:$A$3000,"&lt;="&amp;DATE(2017,12,31),'DATA INPUT'!$B$3:$B$3000,$B54)),(SUMIFS('DATA INPUT'!$D$3:$D$3000,'DATA INPUT'!$A$3:$A$3000,"&gt;="&amp;DATE(2017,1,1),'DATA INPUT'!$A$3:$A$3000,"&lt;="&amp;DATE(2017,12,31),'DATA INPUT'!$B$3:$B$3000,$B54,'DATA INPUT'!$F$3:$F$3000,"&lt;&gt;*Exclude*"))/(COUNTIFS('DATA INPUT'!$A$3:$A$3000,"&gt;="&amp;DATE(2017,1,1),'DATA INPUT'!$A$3:$A$3000,"&lt;="&amp;DATE(2017,12,31),'DATA INPUT'!$B$3:$B$3000,$B54,'DATA INPUT'!$F$3:$F$3000,"&lt;&gt;*Exclude*")))</f>
        <v>#DIV/0!</v>
      </c>
      <c r="D54" s="58" t="e">
        <f>IF($L$2="Yes",(SUMIFS('DATA INPUT'!$D$3:$D$3000,'DATA INPUT'!$A$3:$A$3000,"&gt;="&amp;DATE(2018,1,1),'DATA INPUT'!$A$3:$A$3000,"&lt;="&amp;DATE(2018,12,31),'DATA INPUT'!$B$3:$B$3000,$B54))/(COUNTIFS('DATA INPUT'!$A$3:$A$3000,"&gt;="&amp;DATE(2018,1,1),'DATA INPUT'!$A$3:$A$3000,"&lt;="&amp;DATE(2018,12,31),'DATA INPUT'!$B$3:$B$3000,$B54)),(SUMIFS('DATA INPUT'!$D$3:$D$3000,'DATA INPUT'!$A$3:$A$3000,"&gt;="&amp;DATE(2018,1,1),'DATA INPUT'!$A$3:$A$3000,"&lt;="&amp;DATE(2018,12,31),'DATA INPUT'!$B$3:$B$3000,$B54,'DATA INPUT'!$F$3:$F$3000,"&lt;&gt;*Exclude*"))/(COUNTIFS('DATA INPUT'!$A$3:$A$3000,"&gt;="&amp;DATE(2018,1,1),'DATA INPUT'!$A$3:$A$3000,"&lt;="&amp;DATE(2018,12,31),'DATA INPUT'!$B$3:$B$3000,$B54,'DATA INPUT'!$F$3:$F$3000,"&lt;&gt;*Exclude*")))</f>
        <v>#DIV/0!</v>
      </c>
      <c r="E54" s="58" t="e">
        <f>IF($L$2="Yes",(SUMIFS('DATA INPUT'!$D$3:$D$3000,'DATA INPUT'!$A$3:$A$3000,"&gt;="&amp;DATE(2019,1,1),'DATA INPUT'!$A$3:$A$3000,"&lt;="&amp;DATE(2019,12,31),'DATA INPUT'!$B$3:$B$3000,$B54))/(COUNTIFS('DATA INPUT'!$A$3:$A$3000,"&gt;="&amp;DATE(2019,1,1),'DATA INPUT'!$A$3:$A$3000,"&lt;="&amp;DATE(2019,12,31),'DATA INPUT'!$B$3:$B$3000,$B54)),(SUMIFS('DATA INPUT'!$D$3:$D$3000,'DATA INPUT'!$A$3:$A$3000,"&gt;="&amp;DATE(2019,1,1),'DATA INPUT'!$A$3:$A$3000,"&lt;="&amp;DATE(2019,12,31),'DATA INPUT'!$B$3:$B$3000,$B54,'DATA INPUT'!$F$3:$F$3000,"&lt;&gt;*Exclude*"))/(COUNTIFS('DATA INPUT'!$A$3:$A$3000,"&gt;="&amp;DATE(2019,1,1),'DATA INPUT'!$A$3:$A$3000,"&lt;="&amp;DATE(2019,12,31),'DATA INPUT'!$B$3:$B$3000,$B54,'DATA INPUT'!$F$3:$F$3000,"&lt;&gt;*Exclude*")))</f>
        <v>#DIV/0!</v>
      </c>
      <c r="F54" s="58" t="e">
        <f>IF($L$2="Yes",(SUMIFS('DATA INPUT'!$D$3:$D$3000,'DATA INPUT'!$A$3:$A$3000,"&gt;="&amp;DATE(2020,1,1),'DATA INPUT'!$A$3:$A$3000,"&lt;="&amp;DATE(2020,12,31),'DATA INPUT'!$B$3:$B$3000,$B54))/(COUNTIFS('DATA INPUT'!$A$3:$A$3000,"&gt;="&amp;DATE(2020,1,1),'DATA INPUT'!$A$3:$A$3000,"&lt;="&amp;DATE(2020,12,31),'DATA INPUT'!$B$3:$B$3000,$B54)),(SUMIFS('DATA INPUT'!$D$3:$D$3000,'DATA INPUT'!$A$3:$A$3000,"&gt;="&amp;DATE(2020,1,1),'DATA INPUT'!$A$3:$A$3000,"&lt;="&amp;DATE(2020,12,31),'DATA INPUT'!$B$3:$B$3000,$B54,'DATA INPUT'!$F$3:$F$3000,"&lt;&gt;*Exclude*"))/(COUNTIFS('DATA INPUT'!$A$3:$A$3000,"&gt;="&amp;DATE(2020,1,1),'DATA INPUT'!$A$3:$A$3000,"&lt;="&amp;DATE(2020,12,31),'DATA INPUT'!$B$3:$B$3000,$B54,'DATA INPUT'!$F$3:$F$3000,"&lt;&gt;*Exclude*")))</f>
        <v>#DIV/0!</v>
      </c>
      <c r="G54" s="58" t="e">
        <f>IF($L$2="Yes",(SUMIFS('DATA INPUT'!$D$3:$D$3000,'DATA INPUT'!$A$3:$A$3000,"&gt;="&amp;DATE(2021,1,1),'DATA INPUT'!$A$3:$A$3000,"&lt;="&amp;DATE(2021,12,31),'DATA INPUT'!$B$3:$B$3000,$B54))/(COUNTIFS('DATA INPUT'!$A$3:$A$3000,"&gt;="&amp;DATE(2021,1,1),'DATA INPUT'!$A$3:$A$3000,"&lt;="&amp;DATE(2021,12,31),'DATA INPUT'!$B$3:$B$3000,$B54)),(SUMIFS('DATA INPUT'!$D$3:$D$3000,'DATA INPUT'!$A$3:$A$3000,"&gt;="&amp;DATE(2021,1,1),'DATA INPUT'!$A$3:$A$3000,"&lt;="&amp;DATE(2021,12,31),'DATA INPUT'!$B$3:$B$3000,$B54,'DATA INPUT'!$F$3:$F$3000,"&lt;&gt;*Exclude*"))/(COUNTIFS('DATA INPUT'!$A$3:$A$3000,"&gt;="&amp;DATE(2021,1,1),'DATA INPUT'!$A$3:$A$3000,"&lt;="&amp;DATE(2021,12,31),'DATA INPUT'!$B$3:$B$3000,$B54,'DATA INPUT'!$F$3:$F$3000,"&lt;&gt;*Exclude*")))</f>
        <v>#DIV/0!</v>
      </c>
      <c r="H54" s="58" t="e">
        <f>IF($L$2="Yes",(SUMIFS('DATA INPUT'!$D$3:$D$3000,'DATA INPUT'!$A$3:$A$3000,"&gt;="&amp;DATE(2022,1,1),'DATA INPUT'!$A$3:$A$3000,"&lt;="&amp;DATE(2022,12,31),'DATA INPUT'!$B$3:$B$3000,$B54))/(COUNTIFS('DATA INPUT'!$A$3:$A$3000,"&gt;="&amp;DATE(2022,1,1),'DATA INPUT'!$A$3:$A$3000,"&lt;="&amp;DATE(2022,12,31),'DATA INPUT'!$B$3:$B$3000,$B54)),(SUMIFS('DATA INPUT'!$D$3:$D$3000,'DATA INPUT'!$A$3:$A$3000,"&gt;="&amp;DATE(2022,1,1),'DATA INPUT'!$A$3:$A$3000,"&lt;="&amp;DATE(2022,12,31),'DATA INPUT'!$B$3:$B$3000,$B54,'DATA INPUT'!$F$3:$F$3000,"&lt;&gt;*Exclude*"))/(COUNTIFS('DATA INPUT'!$A$3:$A$3000,"&gt;="&amp;DATE(2022,1,1),'DATA INPUT'!$A$3:$A$3000,"&lt;="&amp;DATE(2022,12,31),'DATA INPUT'!$B$3:$B$3000,$B54,'DATA INPUT'!$F$3:$F$3000,"&lt;&gt;*Exclude*")))</f>
        <v>#DIV/0!</v>
      </c>
      <c r="I54" s="58" t="e">
        <f>IF($L$2="Yes",(SUMIFS('DATA INPUT'!$D$3:$D$3000,'DATA INPUT'!$A$3:$A$3000,"&gt;="&amp;DATE(2023,1,1),'DATA INPUT'!$A$3:$A$3000,"&lt;="&amp;DATE(2023,12,31),'DATA INPUT'!$B$3:$B$3000,$B54))/(COUNTIFS('DATA INPUT'!$A$3:$A$3000,"&gt;="&amp;DATE(2023,1,1),'DATA INPUT'!$A$3:$A$3000,"&lt;="&amp;DATE(2023,12,31),'DATA INPUT'!$B$3:$B$3000,$B54)),(SUMIFS('DATA INPUT'!$D$3:$D$3000,'DATA INPUT'!$A$3:$A$3000,"&gt;="&amp;DATE(2023,1,1),'DATA INPUT'!$A$3:$A$3000,"&lt;="&amp;DATE(2023,12,31),'DATA INPUT'!$B$3:$B$3000,$B54,'DATA INPUT'!$F$3:$F$3000,"&lt;&gt;*Exclude*"))/(COUNTIFS('DATA INPUT'!$A$3:$A$3000,"&gt;="&amp;DATE(2023,1,1),'DATA INPUT'!$A$3:$A$3000,"&lt;="&amp;DATE(2023,12,31),'DATA INPUT'!$B$3:$B$3000,$B54,'DATA INPUT'!$F$3:$F$3000,"&lt;&gt;*Exclude*")))</f>
        <v>#DIV/0!</v>
      </c>
      <c r="J54" s="58" t="e">
        <f>IF($L$2="Yes",(SUMIFS('DATA INPUT'!$D$3:$D$3000,'DATA INPUT'!$A$3:$A$3000,"&gt;="&amp;DATE(2024,1,1),'DATA INPUT'!$A$3:$A$3000,"&lt;="&amp;DATE(2024,12,31),'DATA INPUT'!$B$3:$B$3000,$B54))/(COUNTIFS('DATA INPUT'!$A$3:$A$3000,"&gt;="&amp;DATE(2024,1,1),'DATA INPUT'!$A$3:$A$3000,"&lt;="&amp;DATE(2024,12,31),'DATA INPUT'!$B$3:$B$3000,$B54)),(SUMIFS('DATA INPUT'!$D$3:$D$3000,'DATA INPUT'!$A$3:$A$3000,"&gt;="&amp;DATE(2024,1,1),'DATA INPUT'!$A$3:$A$3000,"&lt;="&amp;DATE(2024,12,31),'DATA INPUT'!$B$3:$B$3000,$B54,'DATA INPUT'!$F$3:$F$3000,"&lt;&gt;*Exclude*"))/(COUNTIFS('DATA INPUT'!$A$3:$A$3000,"&gt;="&amp;DATE(2024,1,1),'DATA INPUT'!$A$3:$A$3000,"&lt;="&amp;DATE(2024,12,31),'DATA INPUT'!$B$3:$B$3000,$B54,'DATA INPUT'!$F$3:$F$3000,"&lt;&gt;*Exclude*")))</f>
        <v>#DIV/0!</v>
      </c>
      <c r="K54" s="58" t="e">
        <f>IF($L$2="Yes",(SUMIFS('DATA INPUT'!$D$3:$D$3000,'DATA INPUT'!$A$3:$A$3000,"&gt;="&amp;DATE(2025,1,1),'DATA INPUT'!$A$3:$A$3000,"&lt;="&amp;DATE(2025,12,31),'DATA INPUT'!$B$3:$B$3000,$B54))/(COUNTIFS('DATA INPUT'!$A$3:$A$3000,"&gt;="&amp;DATE(2025,1,1),'DATA INPUT'!$A$3:$A$3000,"&lt;="&amp;DATE(2025,12,31),'DATA INPUT'!$B$3:$B$3000,$B54)),(SUMIFS('DATA INPUT'!$D$3:$D$3000,'DATA INPUT'!$A$3:$A$3000,"&gt;="&amp;DATE(2025,1,1),'DATA INPUT'!$A$3:$A$3000,"&lt;="&amp;DATE(2025,12,31),'DATA INPUT'!$B$3:$B$3000,$B54,'DATA INPUT'!$F$3:$F$3000,"&lt;&gt;*Exclude*"))/(COUNTIFS('DATA INPUT'!$A$3:$A$3000,"&gt;="&amp;DATE(2025,1,1),'DATA INPUT'!$A$3:$A$3000,"&lt;="&amp;DATE(2025,12,31),'DATA INPUT'!$B$3:$B$3000,$B54,'DATA INPUT'!$F$3:$F$3000,"&lt;&gt;*Exclude*")))</f>
        <v>#DIV/0!</v>
      </c>
      <c r="L54" s="72" t="str">
        <f t="shared" si="20"/>
        <v/>
      </c>
      <c r="Y54" s="149"/>
      <c r="Z54" s="149" t="s">
        <v>15</v>
      </c>
      <c r="AA54" s="136" t="e">
        <f>IF($L$2="Yes",IF(SUMIFS('DATA INPUT'!$E$3:$E$3000,'DATA INPUT'!$B$3:$B$3000,'Report Tables'!AA$1,'DATA INPUT'!$A$3:$A$3000,"&gt;="&amp;DATE(2021,4,1),'DATA INPUT'!$A$3:$A$3000,"&lt;"&amp;DATE(2021,4,31))=0,#N/A,(SUMIFS('DATA INPUT'!$E$3:$E$3000,'DATA INPUT'!$B$3:$B$3000,'Report Tables'!AA$1,'DATA INPUT'!$A$3:$A$3000,"&gt;="&amp;DATE(2021,4,1),'DATA INPUT'!$A$3:$A$3000,"&lt;"&amp;DATE(2021,4,31)))),IF(SUMIFS('DATA INPUT'!$E$3:$E$3000,'DATA INPUT'!$B$3:$B$3000,'Report Tables'!AA$1,'DATA INPUT'!$A$3:$A$3000,"&gt;="&amp;DATE(2021,4,1),'DATA INPUT'!$A$3:$A$3000,"&lt;"&amp;DATE(2021,4,31),'DATA INPUT'!$F$3:$F$3000,"&lt;&gt;*Exclude*")=0,#N/A,(SUMIFS('DATA INPUT'!$E$3:$E$3000,'DATA INPUT'!$B$3:$B$3000,'Report Tables'!AA$1,'DATA INPUT'!$A$3:$A$3000,"&gt;="&amp;DATE(2021,4,1),'DATA INPUT'!$A$3:$A$3000,"&lt;"&amp;DATE(2021,4,31),'DATA INPUT'!$F$3:$F$3000,"&lt;&gt;*Exclude*"))))</f>
        <v>#N/A</v>
      </c>
      <c r="AB54" s="136" t="e">
        <f>IF($L$2="Yes",IF(SUMIFS('DATA INPUT'!$E$3:$E$3000,'DATA INPUT'!$B$3:$B$3000,'Report Tables'!AB$1,'DATA INPUT'!$A$3:$A$3000,"&gt;="&amp;DATE(2021,4,1),'DATA INPUT'!$A$3:$A$3000,"&lt;"&amp;DATE(2021,4,31))=0,#N/A,(SUMIFS('DATA INPUT'!$E$3:$E$3000,'DATA INPUT'!$B$3:$B$3000,'Report Tables'!AB$1,'DATA INPUT'!$A$3:$A$3000,"&gt;="&amp;DATE(2021,4,1),'DATA INPUT'!$A$3:$A$3000,"&lt;"&amp;DATE(2021,4,31)))),IF(SUMIFS('DATA INPUT'!$E$3:$E$3000,'DATA INPUT'!$B$3:$B$3000,'Report Tables'!AB$1,'DATA INPUT'!$A$3:$A$3000,"&gt;="&amp;DATE(2021,4,1),'DATA INPUT'!$A$3:$A$3000,"&lt;"&amp;DATE(2021,4,31),'DATA INPUT'!$F$3:$F$3000,"&lt;&gt;*Exclude*")=0,#N/A,(SUMIFS('DATA INPUT'!$E$3:$E$3000,'DATA INPUT'!$B$3:$B$3000,'Report Tables'!AB$1,'DATA INPUT'!$A$3:$A$3000,"&gt;="&amp;DATE(2021,4,1),'DATA INPUT'!$A$3:$A$3000,"&lt;"&amp;DATE(2021,4,31),'DATA INPUT'!$F$3:$F$3000,"&lt;&gt;*Exclude*"))))</f>
        <v>#N/A</v>
      </c>
      <c r="AC54" s="136" t="e">
        <f>IF($L$2="Yes",IF(SUMIFS('DATA INPUT'!$E$3:$E$3000,'DATA INPUT'!$B$3:$B$3000,'Report Tables'!AC$1,'DATA INPUT'!$A$3:$A$3000,"&gt;="&amp;DATE(2021,4,1),'DATA INPUT'!$A$3:$A$3000,"&lt;"&amp;DATE(2021,4,31))=0,#N/A,(SUMIFS('DATA INPUT'!$E$3:$E$3000,'DATA INPUT'!$B$3:$B$3000,'Report Tables'!AC$1,'DATA INPUT'!$A$3:$A$3000,"&gt;="&amp;DATE(2021,4,1),'DATA INPUT'!$A$3:$A$3000,"&lt;"&amp;DATE(2021,4,31)))),IF(SUMIFS('DATA INPUT'!$E$3:$E$3000,'DATA INPUT'!$B$3:$B$3000,'Report Tables'!AC$1,'DATA INPUT'!$A$3:$A$3000,"&gt;="&amp;DATE(2021,4,1),'DATA INPUT'!$A$3:$A$3000,"&lt;"&amp;DATE(2021,4,31),'DATA INPUT'!$F$3:$F$3000,"&lt;&gt;*Exclude*")=0,#N/A,(SUMIFS('DATA INPUT'!$E$3:$E$3000,'DATA INPUT'!$B$3:$B$3000,'Report Tables'!AC$1,'DATA INPUT'!$A$3:$A$3000,"&gt;="&amp;DATE(2021,4,1),'DATA INPUT'!$A$3:$A$3000,"&lt;"&amp;DATE(2021,4,31),'DATA INPUT'!$F$3:$F$3000,"&lt;&gt;*Exclude*"))))</f>
        <v>#N/A</v>
      </c>
      <c r="AD54" s="136" t="e">
        <f>IF($L$2="Yes",IF(SUMIFS('DATA INPUT'!$E$3:$E$3000,'DATA INPUT'!$B$3:$B$3000,'Report Tables'!AD$1,'DATA INPUT'!$A$3:$A$3000,"&gt;="&amp;DATE(2021,4,1),'DATA INPUT'!$A$3:$A$3000,"&lt;"&amp;DATE(2021,4,31))=0,#N/A,(SUMIFS('DATA INPUT'!$E$3:$E$3000,'DATA INPUT'!$B$3:$B$3000,'Report Tables'!AD$1,'DATA INPUT'!$A$3:$A$3000,"&gt;="&amp;DATE(2021,4,1),'DATA INPUT'!$A$3:$A$3000,"&lt;"&amp;DATE(2021,4,31)))),IF(SUMIFS('DATA INPUT'!$E$3:$E$3000,'DATA INPUT'!$B$3:$B$3000,'Report Tables'!AD$1,'DATA INPUT'!$A$3:$A$3000,"&gt;="&amp;DATE(2021,4,1),'DATA INPUT'!$A$3:$A$3000,"&lt;"&amp;DATE(2021,4,31),'DATA INPUT'!$F$3:$F$3000,"&lt;&gt;*Exclude*")=0,#N/A,(SUMIFS('DATA INPUT'!$E$3:$E$3000,'DATA INPUT'!$B$3:$B$3000,'Report Tables'!AD$1,'DATA INPUT'!$A$3:$A$3000,"&gt;="&amp;DATE(2021,4,1),'DATA INPUT'!$A$3:$A$3000,"&lt;"&amp;DATE(2021,4,31),'DATA INPUT'!$F$3:$F$3000,"&lt;&gt;*Exclude*"))))</f>
        <v>#N/A</v>
      </c>
      <c r="AE54" s="136" t="e">
        <f>IF($L$2="Yes",IF(SUMIFS('DATA INPUT'!$E$3:$E$3000,'DATA INPUT'!$B$3:$B$3000,'Report Tables'!AE$1,'DATA INPUT'!$A$3:$A$3000,"&gt;="&amp;DATE(2021,4,1),'DATA INPUT'!$A$3:$A$3000,"&lt;"&amp;DATE(2021,4,31))=0,#N/A,(SUMIFS('DATA INPUT'!$E$3:$E$3000,'DATA INPUT'!$B$3:$B$3000,'Report Tables'!AE$1,'DATA INPUT'!$A$3:$A$3000,"&gt;="&amp;DATE(2021,4,1),'DATA INPUT'!$A$3:$A$3000,"&lt;"&amp;DATE(2021,4,31)))),IF(SUMIFS('DATA INPUT'!$E$3:$E$3000,'DATA INPUT'!$B$3:$B$3000,'Report Tables'!AE$1,'DATA INPUT'!$A$3:$A$3000,"&gt;="&amp;DATE(2021,4,1),'DATA INPUT'!$A$3:$A$3000,"&lt;"&amp;DATE(2021,4,31),'DATA INPUT'!$F$3:$F$3000,"&lt;&gt;*Exclude*")=0,#N/A,(SUMIFS('DATA INPUT'!$E$3:$E$3000,'DATA INPUT'!$B$3:$B$3000,'Report Tables'!AE$1,'DATA INPUT'!$A$3:$A$3000,"&gt;="&amp;DATE(2021,4,1),'DATA INPUT'!$A$3:$A$3000,"&lt;"&amp;DATE(2021,4,31),'DATA INPUT'!$F$3:$F$3000,"&lt;&gt;*Exclude*"))))</f>
        <v>#N/A</v>
      </c>
      <c r="AF54" s="136" t="e">
        <f>IF($L$2="Yes",IF(SUMIFS('DATA INPUT'!$E$3:$E$3000,'DATA INPUT'!$B$3:$B$3000,'Report Tables'!AF$1,'DATA INPUT'!$A$3:$A$3000,"&gt;="&amp;DATE(2021,4,1),'DATA INPUT'!$A$3:$A$3000,"&lt;"&amp;DATE(2021,4,31))=0,#N/A,(SUMIFS('DATA INPUT'!$E$3:$E$3000,'DATA INPUT'!$B$3:$B$3000,'Report Tables'!AF$1,'DATA INPUT'!$A$3:$A$3000,"&gt;="&amp;DATE(2021,4,1),'DATA INPUT'!$A$3:$A$3000,"&lt;"&amp;DATE(2021,4,31)))),IF(SUMIFS('DATA INPUT'!$E$3:$E$3000,'DATA INPUT'!$B$3:$B$3000,'Report Tables'!AF$1,'DATA INPUT'!$A$3:$A$3000,"&gt;="&amp;DATE(2021,4,1),'DATA INPUT'!$A$3:$A$3000,"&lt;"&amp;DATE(2021,4,31),'DATA INPUT'!$F$3:$F$3000,"&lt;&gt;*Exclude*")=0,#N/A,(SUMIFS('DATA INPUT'!$E$3:$E$3000,'DATA INPUT'!$B$3:$B$3000,'Report Tables'!AF$1,'DATA INPUT'!$A$3:$A$3000,"&gt;="&amp;DATE(2021,4,1),'DATA INPUT'!$A$3:$A$3000,"&lt;"&amp;DATE(2021,4,31),'DATA INPUT'!$F$3:$F$3000,"&lt;&gt;*Exclude*"))))</f>
        <v>#N/A</v>
      </c>
      <c r="AG54" s="136" t="e">
        <f>IF($L$2="Yes",IF(SUMIFS('DATA INPUT'!$E$3:$E$3000,'DATA INPUT'!$B$3:$B$3000,'Report Tables'!AG$1,'DATA INPUT'!$A$3:$A$3000,"&gt;="&amp;DATE(2021,4,1),'DATA INPUT'!$A$3:$A$3000,"&lt;"&amp;DATE(2021,4,31))=0,#N/A,(SUMIFS('DATA INPUT'!$E$3:$E$3000,'DATA INPUT'!$B$3:$B$3000,'Report Tables'!AG$1,'DATA INPUT'!$A$3:$A$3000,"&gt;="&amp;DATE(2021,4,1),'DATA INPUT'!$A$3:$A$3000,"&lt;"&amp;DATE(2021,4,31)))),IF(SUMIFS('DATA INPUT'!$E$3:$E$3000,'DATA INPUT'!$B$3:$B$3000,'Report Tables'!AG$1,'DATA INPUT'!$A$3:$A$3000,"&gt;="&amp;DATE(2021,4,1),'DATA INPUT'!$A$3:$A$3000,"&lt;"&amp;DATE(2021,4,31),'DATA INPUT'!$F$3:$F$3000,"&lt;&gt;*Exclude*")=0,#N/A,(SUMIFS('DATA INPUT'!$E$3:$E$3000,'DATA INPUT'!$B$3:$B$3000,'Report Tables'!AG$1,'DATA INPUT'!$A$3:$A$3000,"&gt;="&amp;DATE(2021,4,1),'DATA INPUT'!$A$3:$A$3000,"&lt;"&amp;DATE(2021,4,31),'DATA INPUT'!$F$3:$F$3000,"&lt;&gt;*Exclude*"))))</f>
        <v>#N/A</v>
      </c>
      <c r="AH54" s="136" t="e">
        <f>IF($L$2="Yes",IF(SUMIFS('DATA INPUT'!$E$3:$E$3000,'DATA INPUT'!$B$3:$B$3000,'Report Tables'!AH$1,'DATA INPUT'!$A$3:$A$3000,"&gt;="&amp;DATE(2021,4,1),'DATA INPUT'!$A$3:$A$3000,"&lt;"&amp;DATE(2021,4,31))=0,#N/A,(SUMIFS('DATA INPUT'!$E$3:$E$3000,'DATA INPUT'!$B$3:$B$3000,'Report Tables'!AH$1,'DATA INPUT'!$A$3:$A$3000,"&gt;="&amp;DATE(2021,4,1),'DATA INPUT'!$A$3:$A$3000,"&lt;"&amp;DATE(2021,4,31)))),IF(SUMIFS('DATA INPUT'!$E$3:$E$3000,'DATA INPUT'!$B$3:$B$3000,'Report Tables'!AH$1,'DATA INPUT'!$A$3:$A$3000,"&gt;="&amp;DATE(2021,4,1),'DATA INPUT'!$A$3:$A$3000,"&lt;"&amp;DATE(2021,4,31),'DATA INPUT'!$F$3:$F$3000,"&lt;&gt;*Exclude*")=0,#N/A,(SUMIFS('DATA INPUT'!$E$3:$E$3000,'DATA INPUT'!$B$3:$B$3000,'Report Tables'!AH$1,'DATA INPUT'!$A$3:$A$3000,"&gt;="&amp;DATE(2021,4,1),'DATA INPUT'!$A$3:$A$3000,"&lt;"&amp;DATE(2021,4,31),'DATA INPUT'!$F$3:$F$3000,"&lt;&gt;*Exclude*"))))</f>
        <v>#N/A</v>
      </c>
      <c r="AI54" s="136" t="e">
        <f t="shared" si="0"/>
        <v>#N/A</v>
      </c>
      <c r="AJ54" s="136" t="e">
        <f>IF($L$2="Yes",IF(SUMIFS('DATA INPUT'!$D$3:$D$3000,'DATA INPUT'!$A$3:$A$3000,"&gt;="&amp;DATE(2021,4,1),'DATA INPUT'!$A$3:$A$3000,"&lt;"&amp;DATE(2021,4,31),'DATA INPUT'!$G$3:$G$3000,"&lt;&gt;*School service*")=0,#N/A,(SUMIFS('DATA INPUT'!$D$3:$D$3000,'DATA INPUT'!$A$3:$A$3000,"&gt;="&amp;DATE(2021,4,1),'DATA INPUT'!$A$3:$A$3000,"&lt;"&amp;DATE(2021,4,31),'DATA INPUT'!$G$3:$G$3000,"&lt;&gt;*School service*"))),IF(SUMIFS('DATA INPUT'!$D$3:$D$3000,'DATA INPUT'!$A$3:$A$3000,"&gt;="&amp;DATE(2021,4,1),'DATA INPUT'!$A$3:$A$3000,"&lt;"&amp;DATE(2021,4,31),'DATA INPUT'!$F$3:$F$3000,"&lt;&gt;*Exclude*",'DATA INPUT'!$G$3:$G$3000,"&lt;&gt;*School service*")=0,#N/A,(SUMIFS('DATA INPUT'!$D$3:$D$3000,'DATA INPUT'!$A$3:$A$3000,"&gt;="&amp;DATE(2021,4,1),'DATA INPUT'!$A$3:$A$3000,"&lt;"&amp;DATE(2021,4,31),'DATA INPUT'!$F$3:$F$3000,"&lt;&gt;*Exclude*",'DATA INPUT'!$G$3:$G$3000,"&lt;&gt;*School service*"))))</f>
        <v>#N/A</v>
      </c>
      <c r="AK54" s="136" t="e">
        <f>AI54-AJ54</f>
        <v>#N/A</v>
      </c>
      <c r="AM54" s="117" t="e">
        <f>IF($L$2="Yes",IFERROR((SUMIFS('DATA INPUT'!$E$3:$E$3000,'DATA INPUT'!$B$3:$B$3000,'Report Tables'!AM$1,'DATA INPUT'!$A$3:$A$3000,"&gt;="&amp;DATE(2021,4,1),'DATA INPUT'!$A$3:$A$3000,"&lt;"&amp;DATE(2021,4,31)))/COUNTIFS('DATA INPUT'!$B$3:$B$3000,'Report Tables'!AM$1,'DATA INPUT'!$A$3:$A$3000,"&gt;="&amp;DATE(2021,4,1),'DATA INPUT'!$A$3:$A$3000,"&lt;"&amp;DATE(2021,4,31)),#N/A),IFERROR((SUMIFS('DATA INPUT'!$E$3:$E$3000,'DATA INPUT'!$B$3:$B$3000,'Report Tables'!AM$1,'DATA INPUT'!$A$3:$A$3000,"&gt;="&amp;DATE(2021,4,1),'DATA INPUT'!$A$3:$A$3000,"&lt;"&amp;DATE(2021,4,31),'DATA INPUT'!$F$3:$F$3000,"&lt;&gt;*Exclude*"))/(COUNTIFS('DATA INPUT'!$B$3:$B$3000,'Report Tables'!AM$1,'DATA INPUT'!$A$3:$A$3000,"&gt;="&amp;DATE(2021,4,1),'DATA INPUT'!$A$3:$A$3000,"&lt;"&amp;DATE(2021,4,31),'DATA INPUT'!$F$3:$F$3000,"&lt;&gt;*Exclude*")),#N/A))</f>
        <v>#N/A</v>
      </c>
      <c r="AN54" s="117" t="e">
        <f>IF($L$2="Yes",IFERROR((SUMIFS('DATA INPUT'!$E$3:$E$3000,'DATA INPUT'!$B$3:$B$3000,'Report Tables'!AN$1,'DATA INPUT'!$A$3:$A$3000,"&gt;="&amp;DATE(2021,4,1),'DATA INPUT'!$A$3:$A$3000,"&lt;"&amp;DATE(2021,4,31)))/COUNTIFS('DATA INPUT'!$B$3:$B$3000,'Report Tables'!AN$1,'DATA INPUT'!$A$3:$A$3000,"&gt;="&amp;DATE(2021,4,1),'DATA INPUT'!$A$3:$A$3000,"&lt;"&amp;DATE(2021,4,31)),#N/A),IFERROR((SUMIFS('DATA INPUT'!$E$3:$E$3000,'DATA INPUT'!$B$3:$B$3000,'Report Tables'!AN$1,'DATA INPUT'!$A$3:$A$3000,"&gt;="&amp;DATE(2021,4,1),'DATA INPUT'!$A$3:$A$3000,"&lt;"&amp;DATE(2021,4,31),'DATA INPUT'!$F$3:$F$3000,"&lt;&gt;*Exclude*"))/(COUNTIFS('DATA INPUT'!$B$3:$B$3000,'Report Tables'!AN$1,'DATA INPUT'!$A$3:$A$3000,"&gt;="&amp;DATE(2021,4,1),'DATA INPUT'!$A$3:$A$3000,"&lt;"&amp;DATE(2021,4,31),'DATA INPUT'!$F$3:$F$3000,"&lt;&gt;*Exclude*")),#N/A))</f>
        <v>#N/A</v>
      </c>
      <c r="AO54" s="117" t="e">
        <f>IF($L$2="Yes",IFERROR((SUMIFS('DATA INPUT'!$E$3:$E$3000,'DATA INPUT'!$B$3:$B$3000,'Report Tables'!AO$1,'DATA INPUT'!$A$3:$A$3000,"&gt;="&amp;DATE(2021,4,1),'DATA INPUT'!$A$3:$A$3000,"&lt;"&amp;DATE(2021,4,31)))/COUNTIFS('DATA INPUT'!$B$3:$B$3000,'Report Tables'!AO$1,'DATA INPUT'!$A$3:$A$3000,"&gt;="&amp;DATE(2021,4,1),'DATA INPUT'!$A$3:$A$3000,"&lt;"&amp;DATE(2021,4,31)),#N/A),IFERROR((SUMIFS('DATA INPUT'!$E$3:$E$3000,'DATA INPUT'!$B$3:$B$3000,'Report Tables'!AO$1,'DATA INPUT'!$A$3:$A$3000,"&gt;="&amp;DATE(2021,4,1),'DATA INPUT'!$A$3:$A$3000,"&lt;"&amp;DATE(2021,4,31),'DATA INPUT'!$F$3:$F$3000,"&lt;&gt;*Exclude*"))/(COUNTIFS('DATA INPUT'!$B$3:$B$3000,'Report Tables'!AO$1,'DATA INPUT'!$A$3:$A$3000,"&gt;="&amp;DATE(2021,4,1),'DATA INPUT'!$A$3:$A$3000,"&lt;"&amp;DATE(2021,4,31),'DATA INPUT'!$F$3:$F$3000,"&lt;&gt;*Exclude*")),#N/A))</f>
        <v>#N/A</v>
      </c>
      <c r="AP54" s="117" t="e">
        <f>IF($L$2="Yes",IFERROR((SUMIFS('DATA INPUT'!$E$3:$E$3000,'DATA INPUT'!$B$3:$B$3000,'Report Tables'!AP$1,'DATA INPUT'!$A$3:$A$3000,"&gt;="&amp;DATE(2021,4,1),'DATA INPUT'!$A$3:$A$3000,"&lt;"&amp;DATE(2021,4,31)))/COUNTIFS('DATA INPUT'!$B$3:$B$3000,'Report Tables'!AP$1,'DATA INPUT'!$A$3:$A$3000,"&gt;="&amp;DATE(2021,4,1),'DATA INPUT'!$A$3:$A$3000,"&lt;"&amp;DATE(2021,4,31)),#N/A),IFERROR((SUMIFS('DATA INPUT'!$E$3:$E$3000,'DATA INPUT'!$B$3:$B$3000,'Report Tables'!AP$1,'DATA INPUT'!$A$3:$A$3000,"&gt;="&amp;DATE(2021,4,1),'DATA INPUT'!$A$3:$A$3000,"&lt;"&amp;DATE(2021,4,31),'DATA INPUT'!$F$3:$F$3000,"&lt;&gt;*Exclude*"))/(COUNTIFS('DATA INPUT'!$B$3:$B$3000,'Report Tables'!AP$1,'DATA INPUT'!$A$3:$A$3000,"&gt;="&amp;DATE(2021,4,1),'DATA INPUT'!$A$3:$A$3000,"&lt;"&amp;DATE(2021,4,31),'DATA INPUT'!$F$3:$F$3000,"&lt;&gt;*Exclude*")),#N/A))</f>
        <v>#N/A</v>
      </c>
      <c r="AQ54" s="117" t="e">
        <f>IF($L$2="Yes",IFERROR((SUMIFS('DATA INPUT'!$E$3:$E$3000,'DATA INPUT'!$B$3:$B$3000,'Report Tables'!AQ$1,'DATA INPUT'!$A$3:$A$3000,"&gt;="&amp;DATE(2021,4,1),'DATA INPUT'!$A$3:$A$3000,"&lt;"&amp;DATE(2021,4,31)))/COUNTIFS('DATA INPUT'!$B$3:$B$3000,'Report Tables'!AQ$1,'DATA INPUT'!$A$3:$A$3000,"&gt;="&amp;DATE(2021,4,1),'DATA INPUT'!$A$3:$A$3000,"&lt;"&amp;DATE(2021,4,31)),#N/A),IFERROR((SUMIFS('DATA INPUT'!$E$3:$E$3000,'DATA INPUT'!$B$3:$B$3000,'Report Tables'!AQ$1,'DATA INPUT'!$A$3:$A$3000,"&gt;="&amp;DATE(2021,4,1),'DATA INPUT'!$A$3:$A$3000,"&lt;"&amp;DATE(2021,4,31),'DATA INPUT'!$F$3:$F$3000,"&lt;&gt;*Exclude*"))/(COUNTIFS('DATA INPUT'!$B$3:$B$3000,'Report Tables'!AQ$1,'DATA INPUT'!$A$3:$A$3000,"&gt;="&amp;DATE(2021,4,1),'DATA INPUT'!$A$3:$A$3000,"&lt;"&amp;DATE(2021,4,31),'DATA INPUT'!$F$3:$F$3000,"&lt;&gt;*Exclude*")),#N/A))</f>
        <v>#N/A</v>
      </c>
      <c r="AR54" s="117" t="e">
        <f>IF($L$2="Yes",IFERROR((SUMIFS('DATA INPUT'!$E$3:$E$3000,'DATA INPUT'!$B$3:$B$3000,'Report Tables'!AR$1,'DATA INPUT'!$A$3:$A$3000,"&gt;="&amp;DATE(2021,4,1),'DATA INPUT'!$A$3:$A$3000,"&lt;"&amp;DATE(2021,4,31)))/COUNTIFS('DATA INPUT'!$B$3:$B$3000,'Report Tables'!AR$1,'DATA INPUT'!$A$3:$A$3000,"&gt;="&amp;DATE(2021,4,1),'DATA INPUT'!$A$3:$A$3000,"&lt;"&amp;DATE(2021,4,31)),#N/A),IFERROR((SUMIFS('DATA INPUT'!$E$3:$E$3000,'DATA INPUT'!$B$3:$B$3000,'Report Tables'!AR$1,'DATA INPUT'!$A$3:$A$3000,"&gt;="&amp;DATE(2021,4,1),'DATA INPUT'!$A$3:$A$3000,"&lt;"&amp;DATE(2021,4,31),'DATA INPUT'!$F$3:$F$3000,"&lt;&gt;*Exclude*"))/(COUNTIFS('DATA INPUT'!$B$3:$B$3000,'Report Tables'!AR$1,'DATA INPUT'!$A$3:$A$3000,"&gt;="&amp;DATE(2021,4,1),'DATA INPUT'!$A$3:$A$3000,"&lt;"&amp;DATE(2021,4,31),'DATA INPUT'!$F$3:$F$3000,"&lt;&gt;*Exclude*")),#N/A))</f>
        <v>#N/A</v>
      </c>
      <c r="AS54" s="117" t="e">
        <f>IF($L$2="Yes",IFERROR((SUMIFS('DATA INPUT'!$E$3:$E$3000,'DATA INPUT'!$B$3:$B$3000,'Report Tables'!AS$1,'DATA INPUT'!$A$3:$A$3000,"&gt;="&amp;DATE(2021,4,1),'DATA INPUT'!$A$3:$A$3000,"&lt;"&amp;DATE(2021,4,31)))/COUNTIFS('DATA INPUT'!$B$3:$B$3000,'Report Tables'!AS$1,'DATA INPUT'!$A$3:$A$3000,"&gt;="&amp;DATE(2021,4,1),'DATA INPUT'!$A$3:$A$3000,"&lt;"&amp;DATE(2021,4,31)),#N/A),IFERROR((SUMIFS('DATA INPUT'!$E$3:$E$3000,'DATA INPUT'!$B$3:$B$3000,'Report Tables'!AS$1,'DATA INPUT'!$A$3:$A$3000,"&gt;="&amp;DATE(2021,4,1),'DATA INPUT'!$A$3:$A$3000,"&lt;"&amp;DATE(2021,4,31),'DATA INPUT'!$F$3:$F$3000,"&lt;&gt;*Exclude*"))/(COUNTIFS('DATA INPUT'!$B$3:$B$3000,'Report Tables'!AS$1,'DATA INPUT'!$A$3:$A$3000,"&gt;="&amp;DATE(2021,4,1),'DATA INPUT'!$A$3:$A$3000,"&lt;"&amp;DATE(2021,4,31),'DATA INPUT'!$F$3:$F$3000,"&lt;&gt;*Exclude*")),#N/A))</f>
        <v>#N/A</v>
      </c>
      <c r="AT54" s="117" t="e">
        <f>IF($L$2="Yes",IFERROR((SUMIFS('DATA INPUT'!$E$3:$E$3000,'DATA INPUT'!$B$3:$B$3000,'Report Tables'!AT$1,'DATA INPUT'!$A$3:$A$3000,"&gt;="&amp;DATE(2021,4,1),'DATA INPUT'!$A$3:$A$3000,"&lt;"&amp;DATE(2021,4,31)))/COUNTIFS('DATA INPUT'!$B$3:$B$3000,'Report Tables'!AT$1,'DATA INPUT'!$A$3:$A$3000,"&gt;="&amp;DATE(2021,4,1),'DATA INPUT'!$A$3:$A$3000,"&lt;"&amp;DATE(2021,4,31)),#N/A),IFERROR((SUMIFS('DATA INPUT'!$E$3:$E$3000,'DATA INPUT'!$B$3:$B$3000,'Report Tables'!AT$1,'DATA INPUT'!$A$3:$A$3000,"&gt;="&amp;DATE(2021,4,1),'DATA INPUT'!$A$3:$A$3000,"&lt;"&amp;DATE(2021,4,31),'DATA INPUT'!$F$3:$F$3000,"&lt;&gt;*Exclude*"))/(COUNTIFS('DATA INPUT'!$B$3:$B$3000,'Report Tables'!AT$1,'DATA INPUT'!$A$3:$A$3000,"&gt;="&amp;DATE(2021,4,1),'DATA INPUT'!$A$3:$A$3000,"&lt;"&amp;DATE(2021,4,31),'DATA INPUT'!$F$3:$F$3000,"&lt;&gt;*Exclude*")),#N/A))</f>
        <v>#N/A</v>
      </c>
      <c r="AU54" s="117" t="e">
        <f t="shared" si="1"/>
        <v>#N/A</v>
      </c>
      <c r="AV54" s="117" t="e">
        <f>IF($L$2="Yes",IFERROR((SUMIFS('DATA INPUT'!$D$3:$D$3000,'DATA INPUT'!$A$3:$A$3000,"&gt;="&amp;DATE(2021,4,1),'DATA INPUT'!$A$3:$A$3000,"&lt;"&amp;DATE(2021,4,31),'DATA INPUT'!$G$3:$G$3000,"&lt;&gt;*School service*"))/COUNTIFS('DATA INPUT'!$A$3:$A$3000,"&gt;="&amp;DATE(2021,4,1),'DATA INPUT'!$A$3:$A$3000,"&lt;"&amp;DATE(2021,4,31),'DATA INPUT'!$G$3:$G$3000,"&lt;&gt;*School service*",'DATA INPUT'!$D$3:$D$3000,"&lt;&gt;"&amp;""),#N/A),IFERROR((SUMIFS('DATA INPUT'!$D$3:$D$3000,'DATA INPUT'!$A$3:$A$3000,"&gt;="&amp;DATE(2021,4,1),'DATA INPUT'!$A$3:$A$3000,"&lt;"&amp;DATE(2021,4,31),'DATA INPUT'!$F$3:$F$3000,"&lt;&gt;*Exclude*",'DATA INPUT'!$G$3:$G$3000,"&lt;&gt;*School service*"))/(COUNTIFS('DATA INPUT'!$A$3:$A$3000,"&gt;="&amp;DATE(2021,4,1),'DATA INPUT'!$A$3:$A$3000,"&lt;"&amp;DATE(2021,4,31),'DATA INPUT'!$F$3:$F$3000,"&lt;&gt;*Exclude*",'DATA INPUT'!$G$3:$G$3000,"&lt;&gt;*School service*",'DATA INPUT'!$D$3:$D$3000,"&lt;&gt;"&amp;"")),#N/A))</f>
        <v>#N/A</v>
      </c>
      <c r="AW54" s="117" t="e">
        <f t="shared" si="2"/>
        <v>#N/A</v>
      </c>
      <c r="AX54" s="117" t="e">
        <f>IF($L$2="Yes",IFERROR((SUMIFS('DATA INPUT'!$E$3:$E$3000,'DATA INPUT'!$B$3:$B$3000,'Report Tables'!AX$1,'DATA INPUT'!$A$3:$A$3000,"&gt;="&amp;DATE(2021,4,1),'DATA INPUT'!$A$3:$A$3000,"&lt;"&amp;DATE(2021,4,31)))/COUNTIFS('DATA INPUT'!$B$3:$B$3000,'Report Tables'!AX$1,'DATA INPUT'!$A$3:$A$3000,"&gt;="&amp;DATE(2021,4,1),'DATA INPUT'!$A$3:$A$3000,"&lt;"&amp;DATE(2021,4,31)),#N/A),IFERROR((SUMIFS('DATA INPUT'!$E$3:$E$3000,'DATA INPUT'!$B$3:$B$3000,'Report Tables'!AX$1,'DATA INPUT'!$A$3:$A$3000,"&gt;="&amp;DATE(2021,4,1),'DATA INPUT'!$A$3:$A$3000,"&lt;"&amp;DATE(2021,4,31),'DATA INPUT'!$F$3:$F$3000,"&lt;&gt;*Exclude*"))/(COUNTIFS('DATA INPUT'!$B$3:$B$3000,'Report Tables'!AX$1,'DATA INPUT'!$A$3:$A$3000,"&gt;="&amp;DATE(2021,4,1),'DATA INPUT'!$A$3:$A$3000,"&lt;"&amp;DATE(2021,4,31),'DATA INPUT'!$F$3:$F$3000,"&lt;&gt;*Exclude*")),#N/A))</f>
        <v>#N/A</v>
      </c>
      <c r="AY54" s="117" t="e">
        <f>IF($L$2="Yes",IFERROR((SUMIFS('DATA INPUT'!$D$3:$D$3000,'DATA INPUT'!$B$3:$B$3000,'Report Tables'!AX$1,'DATA INPUT'!$A$3:$A$3000,"&gt;="&amp;DATE(2021,4,1),'DATA INPUT'!$A$3:$A$3000,"&lt;"&amp;DATE(2021,4,31)))/COUNTIFS('DATA INPUT'!$B$3:$B$3000,'Report Tables'!AX$1,'DATA INPUT'!$A$3:$A$3000,"&gt;="&amp;DATE(2021,4,1),'DATA INPUT'!$A$3:$A$3000,"&lt;"&amp;DATE(2021,4,31)),#N/A),IFERROR((SUMIFS('DATA INPUT'!$D$3:$D$3000,'DATA INPUT'!$B$3:$B$3000,'Report Tables'!AX$1,'DATA INPUT'!$A$3:$A$3000,"&gt;="&amp;DATE(2021,4,1),'DATA INPUT'!$A$3:$A$3000,"&lt;"&amp;DATE(2021,4,31),'DATA INPUT'!$F$3:$F$3000,"&lt;&gt;*Exclude*"))/(COUNTIFS('DATA INPUT'!$B$3:$B$3000,'Report Tables'!AX$1,'DATA INPUT'!$A$3:$A$3000,"&gt;="&amp;DATE(2021,4,1),'DATA INPUT'!$A$3:$A$3000,"&lt;"&amp;DATE(2021,4,31),'DATA INPUT'!$F$3:$F$3000,"&lt;&gt;*Exclude*")),#N/A))</f>
        <v>#N/A</v>
      </c>
      <c r="AZ54" s="117" t="e">
        <f>IF($L$2="Yes",IFERROR((SUMIFS('DATA INPUT'!$C$3:$C$3000,'DATA INPUT'!$B$3:$B$3000,'Report Tables'!AX$1,'DATA INPUT'!$A$3:$A$3000,"&gt;="&amp;DATE(2021,4,1),'DATA INPUT'!$A$3:$A$3000,"&lt;"&amp;DATE(2021,4,31)))/COUNTIFS('DATA INPUT'!$B$3:$B$3000,'Report Tables'!AX$1,'DATA INPUT'!$A$3:$A$3000,"&gt;="&amp;DATE(2021,4,1),'DATA INPUT'!$A$3:$A$3000,"&lt;"&amp;DATE(2021,4,31)),#N/A),IFERROR((SUMIFS('DATA INPUT'!$C$3:$C$3000,'DATA INPUT'!$B$3:$B$3000,'Report Tables'!AX$1,'DATA INPUT'!$A$3:$A$3000,"&gt;="&amp;DATE(2021,4,1),'DATA INPUT'!$A$3:$A$3000,"&lt;"&amp;DATE(2021,4,31),'DATA INPUT'!$F$3:$F$3000,"&lt;&gt;*Exclude*"))/(COUNTIFS('DATA INPUT'!$B$3:$B$3000,'Report Tables'!AX$1,'DATA INPUT'!$A$3:$A$3000,"&gt;="&amp;DATE(2021,4,1),'DATA INPUT'!$A$3:$A$3000,"&lt;"&amp;DATE(2021,4,31),'DATA INPUT'!$F$3:$F$3000,"&lt;&gt;*Exclude*")),#N/A))</f>
        <v>#N/A</v>
      </c>
    </row>
    <row r="55" spans="1:52" x14ac:dyDescent="0.3">
      <c r="A55" s="95" t="e">
        <f>VLOOKUP(B55,Information!$C$8:$F$15,4,FALSE)</f>
        <v>#N/A</v>
      </c>
      <c r="B55" s="53">
        <f>$B$7</f>
        <v>0</v>
      </c>
      <c r="C55" s="58" t="e">
        <f>IF($L$2="Yes",(SUMIFS('DATA INPUT'!$D$3:$D$3000,'DATA INPUT'!$A$3:$A$3000,"&gt;="&amp;DATE(2017,1,1),'DATA INPUT'!$A$3:$A$3000,"&lt;="&amp;DATE(2017,12,31),'DATA INPUT'!$B$3:$B$3000,$B55))/(COUNTIFS('DATA INPUT'!$A$3:$A$3000,"&gt;="&amp;DATE(2017,1,1),'DATA INPUT'!$A$3:$A$3000,"&lt;="&amp;DATE(2017,12,31),'DATA INPUT'!$B$3:$B$3000,$B55)),(SUMIFS('DATA INPUT'!$D$3:$D$3000,'DATA INPUT'!$A$3:$A$3000,"&gt;="&amp;DATE(2017,1,1),'DATA INPUT'!$A$3:$A$3000,"&lt;="&amp;DATE(2017,12,31),'DATA INPUT'!$B$3:$B$3000,$B55,'DATA INPUT'!$F$3:$F$3000,"&lt;&gt;*Exclude*"))/(COUNTIFS('DATA INPUT'!$A$3:$A$3000,"&gt;="&amp;DATE(2017,1,1),'DATA INPUT'!$A$3:$A$3000,"&lt;="&amp;DATE(2017,12,31),'DATA INPUT'!$B$3:$B$3000,$B55,'DATA INPUT'!$F$3:$F$3000,"&lt;&gt;*Exclude*")))</f>
        <v>#DIV/0!</v>
      </c>
      <c r="D55" s="58" t="e">
        <f>IF($L$2="Yes",(SUMIFS('DATA INPUT'!$D$3:$D$3000,'DATA INPUT'!$A$3:$A$3000,"&gt;="&amp;DATE(2018,1,1),'DATA INPUT'!$A$3:$A$3000,"&lt;="&amp;DATE(2018,12,31),'DATA INPUT'!$B$3:$B$3000,$B55))/(COUNTIFS('DATA INPUT'!$A$3:$A$3000,"&gt;="&amp;DATE(2018,1,1),'DATA INPUT'!$A$3:$A$3000,"&lt;="&amp;DATE(2018,12,31),'DATA INPUT'!$B$3:$B$3000,$B55)),(SUMIFS('DATA INPUT'!$D$3:$D$3000,'DATA INPUT'!$A$3:$A$3000,"&gt;="&amp;DATE(2018,1,1),'DATA INPUT'!$A$3:$A$3000,"&lt;="&amp;DATE(2018,12,31),'DATA INPUT'!$B$3:$B$3000,$B55,'DATA INPUT'!$F$3:$F$3000,"&lt;&gt;*Exclude*"))/(COUNTIFS('DATA INPUT'!$A$3:$A$3000,"&gt;="&amp;DATE(2018,1,1),'DATA INPUT'!$A$3:$A$3000,"&lt;="&amp;DATE(2018,12,31),'DATA INPUT'!$B$3:$B$3000,$B55,'DATA INPUT'!$F$3:$F$3000,"&lt;&gt;*Exclude*")))</f>
        <v>#DIV/0!</v>
      </c>
      <c r="E55" s="58" t="e">
        <f>IF($L$2="Yes",(SUMIFS('DATA INPUT'!$D$3:$D$3000,'DATA INPUT'!$A$3:$A$3000,"&gt;="&amp;DATE(2019,1,1),'DATA INPUT'!$A$3:$A$3000,"&lt;="&amp;DATE(2019,12,31),'DATA INPUT'!$B$3:$B$3000,$B55))/(COUNTIFS('DATA INPUT'!$A$3:$A$3000,"&gt;="&amp;DATE(2019,1,1),'DATA INPUT'!$A$3:$A$3000,"&lt;="&amp;DATE(2019,12,31),'DATA INPUT'!$B$3:$B$3000,$B55)),(SUMIFS('DATA INPUT'!$D$3:$D$3000,'DATA INPUT'!$A$3:$A$3000,"&gt;="&amp;DATE(2019,1,1),'DATA INPUT'!$A$3:$A$3000,"&lt;="&amp;DATE(2019,12,31),'DATA INPUT'!$B$3:$B$3000,$B55,'DATA INPUT'!$F$3:$F$3000,"&lt;&gt;*Exclude*"))/(COUNTIFS('DATA INPUT'!$A$3:$A$3000,"&gt;="&amp;DATE(2019,1,1),'DATA INPUT'!$A$3:$A$3000,"&lt;="&amp;DATE(2019,12,31),'DATA INPUT'!$B$3:$B$3000,$B55,'DATA INPUT'!$F$3:$F$3000,"&lt;&gt;*Exclude*")))</f>
        <v>#DIV/0!</v>
      </c>
      <c r="F55" s="58" t="e">
        <f>IF($L$2="Yes",(SUMIFS('DATA INPUT'!$D$3:$D$3000,'DATA INPUT'!$A$3:$A$3000,"&gt;="&amp;DATE(2020,1,1),'DATA INPUT'!$A$3:$A$3000,"&lt;="&amp;DATE(2020,12,31),'DATA INPUT'!$B$3:$B$3000,$B55))/(COUNTIFS('DATA INPUT'!$A$3:$A$3000,"&gt;="&amp;DATE(2020,1,1),'DATA INPUT'!$A$3:$A$3000,"&lt;="&amp;DATE(2020,12,31),'DATA INPUT'!$B$3:$B$3000,$B55)),(SUMIFS('DATA INPUT'!$D$3:$D$3000,'DATA INPUT'!$A$3:$A$3000,"&gt;="&amp;DATE(2020,1,1),'DATA INPUT'!$A$3:$A$3000,"&lt;="&amp;DATE(2020,12,31),'DATA INPUT'!$B$3:$B$3000,$B55,'DATA INPUT'!$F$3:$F$3000,"&lt;&gt;*Exclude*"))/(COUNTIFS('DATA INPUT'!$A$3:$A$3000,"&gt;="&amp;DATE(2020,1,1),'DATA INPUT'!$A$3:$A$3000,"&lt;="&amp;DATE(2020,12,31),'DATA INPUT'!$B$3:$B$3000,$B55,'DATA INPUT'!$F$3:$F$3000,"&lt;&gt;*Exclude*")))</f>
        <v>#DIV/0!</v>
      </c>
      <c r="G55" s="58" t="e">
        <f>IF($L$2="Yes",(SUMIFS('DATA INPUT'!$D$3:$D$3000,'DATA INPUT'!$A$3:$A$3000,"&gt;="&amp;DATE(2021,1,1),'DATA INPUT'!$A$3:$A$3000,"&lt;="&amp;DATE(2021,12,31),'DATA INPUT'!$B$3:$B$3000,$B55))/(COUNTIFS('DATA INPUT'!$A$3:$A$3000,"&gt;="&amp;DATE(2021,1,1),'DATA INPUT'!$A$3:$A$3000,"&lt;="&amp;DATE(2021,12,31),'DATA INPUT'!$B$3:$B$3000,$B55)),(SUMIFS('DATA INPUT'!$D$3:$D$3000,'DATA INPUT'!$A$3:$A$3000,"&gt;="&amp;DATE(2021,1,1),'DATA INPUT'!$A$3:$A$3000,"&lt;="&amp;DATE(2021,12,31),'DATA INPUT'!$B$3:$B$3000,$B55,'DATA INPUT'!$F$3:$F$3000,"&lt;&gt;*Exclude*"))/(COUNTIFS('DATA INPUT'!$A$3:$A$3000,"&gt;="&amp;DATE(2021,1,1),'DATA INPUT'!$A$3:$A$3000,"&lt;="&amp;DATE(2021,12,31),'DATA INPUT'!$B$3:$B$3000,$B55,'DATA INPUT'!$F$3:$F$3000,"&lt;&gt;*Exclude*")))</f>
        <v>#DIV/0!</v>
      </c>
      <c r="H55" s="58" t="e">
        <f>IF($L$2="Yes",(SUMIFS('DATA INPUT'!$D$3:$D$3000,'DATA INPUT'!$A$3:$A$3000,"&gt;="&amp;DATE(2022,1,1),'DATA INPUT'!$A$3:$A$3000,"&lt;="&amp;DATE(2022,12,31),'DATA INPUT'!$B$3:$B$3000,$B55))/(COUNTIFS('DATA INPUT'!$A$3:$A$3000,"&gt;="&amp;DATE(2022,1,1),'DATA INPUT'!$A$3:$A$3000,"&lt;="&amp;DATE(2022,12,31),'DATA INPUT'!$B$3:$B$3000,$B55)),(SUMIFS('DATA INPUT'!$D$3:$D$3000,'DATA INPUT'!$A$3:$A$3000,"&gt;="&amp;DATE(2022,1,1),'DATA INPUT'!$A$3:$A$3000,"&lt;="&amp;DATE(2022,12,31),'DATA INPUT'!$B$3:$B$3000,$B55,'DATA INPUT'!$F$3:$F$3000,"&lt;&gt;*Exclude*"))/(COUNTIFS('DATA INPUT'!$A$3:$A$3000,"&gt;="&amp;DATE(2022,1,1),'DATA INPUT'!$A$3:$A$3000,"&lt;="&amp;DATE(2022,12,31),'DATA INPUT'!$B$3:$B$3000,$B55,'DATA INPUT'!$F$3:$F$3000,"&lt;&gt;*Exclude*")))</f>
        <v>#DIV/0!</v>
      </c>
      <c r="I55" s="58" t="e">
        <f>IF($L$2="Yes",(SUMIFS('DATA INPUT'!$D$3:$D$3000,'DATA INPUT'!$A$3:$A$3000,"&gt;="&amp;DATE(2023,1,1),'DATA INPUT'!$A$3:$A$3000,"&lt;="&amp;DATE(2023,12,31),'DATA INPUT'!$B$3:$B$3000,$B55))/(COUNTIFS('DATA INPUT'!$A$3:$A$3000,"&gt;="&amp;DATE(2023,1,1),'DATA INPUT'!$A$3:$A$3000,"&lt;="&amp;DATE(2023,12,31),'DATA INPUT'!$B$3:$B$3000,$B55)),(SUMIFS('DATA INPUT'!$D$3:$D$3000,'DATA INPUT'!$A$3:$A$3000,"&gt;="&amp;DATE(2023,1,1),'DATA INPUT'!$A$3:$A$3000,"&lt;="&amp;DATE(2023,12,31),'DATA INPUT'!$B$3:$B$3000,$B55,'DATA INPUT'!$F$3:$F$3000,"&lt;&gt;*Exclude*"))/(COUNTIFS('DATA INPUT'!$A$3:$A$3000,"&gt;="&amp;DATE(2023,1,1),'DATA INPUT'!$A$3:$A$3000,"&lt;="&amp;DATE(2023,12,31),'DATA INPUT'!$B$3:$B$3000,$B55,'DATA INPUT'!$F$3:$F$3000,"&lt;&gt;*Exclude*")))</f>
        <v>#DIV/0!</v>
      </c>
      <c r="J55" s="58" t="e">
        <f>IF($L$2="Yes",(SUMIFS('DATA INPUT'!$D$3:$D$3000,'DATA INPUT'!$A$3:$A$3000,"&gt;="&amp;DATE(2024,1,1),'DATA INPUT'!$A$3:$A$3000,"&lt;="&amp;DATE(2024,12,31),'DATA INPUT'!$B$3:$B$3000,$B55))/(COUNTIFS('DATA INPUT'!$A$3:$A$3000,"&gt;="&amp;DATE(2024,1,1),'DATA INPUT'!$A$3:$A$3000,"&lt;="&amp;DATE(2024,12,31),'DATA INPUT'!$B$3:$B$3000,$B55)),(SUMIFS('DATA INPUT'!$D$3:$D$3000,'DATA INPUT'!$A$3:$A$3000,"&gt;="&amp;DATE(2024,1,1),'DATA INPUT'!$A$3:$A$3000,"&lt;="&amp;DATE(2024,12,31),'DATA INPUT'!$B$3:$B$3000,$B55,'DATA INPUT'!$F$3:$F$3000,"&lt;&gt;*Exclude*"))/(COUNTIFS('DATA INPUT'!$A$3:$A$3000,"&gt;="&amp;DATE(2024,1,1),'DATA INPUT'!$A$3:$A$3000,"&lt;="&amp;DATE(2024,12,31),'DATA INPUT'!$B$3:$B$3000,$B55,'DATA INPUT'!$F$3:$F$3000,"&lt;&gt;*Exclude*")))</f>
        <v>#DIV/0!</v>
      </c>
      <c r="K55" s="58" t="e">
        <f>IF($L$2="Yes",(SUMIFS('DATA INPUT'!$D$3:$D$3000,'DATA INPUT'!$A$3:$A$3000,"&gt;="&amp;DATE(2025,1,1),'DATA INPUT'!$A$3:$A$3000,"&lt;="&amp;DATE(2025,12,31),'DATA INPUT'!$B$3:$B$3000,$B55))/(COUNTIFS('DATA INPUT'!$A$3:$A$3000,"&gt;="&amp;DATE(2025,1,1),'DATA INPUT'!$A$3:$A$3000,"&lt;="&amp;DATE(2025,12,31),'DATA INPUT'!$B$3:$B$3000,$B55)),(SUMIFS('DATA INPUT'!$D$3:$D$3000,'DATA INPUT'!$A$3:$A$3000,"&gt;="&amp;DATE(2025,1,1),'DATA INPUT'!$A$3:$A$3000,"&lt;="&amp;DATE(2025,12,31),'DATA INPUT'!$B$3:$B$3000,$B55,'DATA INPUT'!$F$3:$F$3000,"&lt;&gt;*Exclude*"))/(COUNTIFS('DATA INPUT'!$A$3:$A$3000,"&gt;="&amp;DATE(2025,1,1),'DATA INPUT'!$A$3:$A$3000,"&lt;="&amp;DATE(2025,12,31),'DATA INPUT'!$B$3:$B$3000,$B55,'DATA INPUT'!$F$3:$F$3000,"&lt;&gt;*Exclude*")))</f>
        <v>#DIV/0!</v>
      </c>
      <c r="L55" s="72" t="str">
        <f t="shared" si="20"/>
        <v/>
      </c>
      <c r="Y55" s="149"/>
      <c r="Z55" s="149" t="s">
        <v>16</v>
      </c>
      <c r="AA55" s="136" t="e">
        <f>IF($L$2="Yes",IF(SUMIFS('DATA INPUT'!$E$3:$E$3000,'DATA INPUT'!$B$3:$B$3000,'Report Tables'!AA$1,'DATA INPUT'!$A$3:$A$3000,"&gt;="&amp;DATE(2021,5,1),'DATA INPUT'!$A$3:$A$3000,"&lt;"&amp;DATE(2021,5,31))=0,#N/A,(SUMIFS('DATA INPUT'!$E$3:$E$3000,'DATA INPUT'!$B$3:$B$3000,'Report Tables'!AA$1,'DATA INPUT'!$A$3:$A$3000,"&gt;="&amp;DATE(2021,5,1),'DATA INPUT'!$A$3:$A$3000,"&lt;"&amp;DATE(2021,5,31)))),IF(SUMIFS('DATA INPUT'!$E$3:$E$3000,'DATA INPUT'!$B$3:$B$3000,'Report Tables'!AA$1,'DATA INPUT'!$A$3:$A$3000,"&gt;="&amp;DATE(2021,5,1),'DATA INPUT'!$A$3:$A$3000,"&lt;"&amp;DATE(2021,5,31),'DATA INPUT'!$F$3:$F$3000,"&lt;&gt;*Exclude*")=0,#N/A,(SUMIFS('DATA INPUT'!$E$3:$E$3000,'DATA INPUT'!$B$3:$B$3000,'Report Tables'!AA$1,'DATA INPUT'!$A$3:$A$3000,"&gt;="&amp;DATE(2021,5,1),'DATA INPUT'!$A$3:$A$3000,"&lt;"&amp;DATE(2021,5,31),'DATA INPUT'!$F$3:$F$3000,"&lt;&gt;*Exclude*"))))</f>
        <v>#N/A</v>
      </c>
      <c r="AB55" s="136" t="e">
        <f>IF($L$2="Yes",IF(SUMIFS('DATA INPUT'!$E$3:$E$3000,'DATA INPUT'!$B$3:$B$3000,'Report Tables'!AB$1,'DATA INPUT'!$A$3:$A$3000,"&gt;="&amp;DATE(2021,5,1),'DATA INPUT'!$A$3:$A$3000,"&lt;"&amp;DATE(2021,5,31))=0,#N/A,(SUMIFS('DATA INPUT'!$E$3:$E$3000,'DATA INPUT'!$B$3:$B$3000,'Report Tables'!AB$1,'DATA INPUT'!$A$3:$A$3000,"&gt;="&amp;DATE(2021,5,1),'DATA INPUT'!$A$3:$A$3000,"&lt;"&amp;DATE(2021,5,31)))),IF(SUMIFS('DATA INPUT'!$E$3:$E$3000,'DATA INPUT'!$B$3:$B$3000,'Report Tables'!AB$1,'DATA INPUT'!$A$3:$A$3000,"&gt;="&amp;DATE(2021,5,1),'DATA INPUT'!$A$3:$A$3000,"&lt;"&amp;DATE(2021,5,31),'DATA INPUT'!$F$3:$F$3000,"&lt;&gt;*Exclude*")=0,#N/A,(SUMIFS('DATA INPUT'!$E$3:$E$3000,'DATA INPUT'!$B$3:$B$3000,'Report Tables'!AB$1,'DATA INPUT'!$A$3:$A$3000,"&gt;="&amp;DATE(2021,5,1),'DATA INPUT'!$A$3:$A$3000,"&lt;"&amp;DATE(2021,5,31),'DATA INPUT'!$F$3:$F$3000,"&lt;&gt;*Exclude*"))))</f>
        <v>#N/A</v>
      </c>
      <c r="AC55" s="136" t="e">
        <f>IF($L$2="Yes",IF(SUMIFS('DATA INPUT'!$E$3:$E$3000,'DATA INPUT'!$B$3:$B$3000,'Report Tables'!AC$1,'DATA INPUT'!$A$3:$A$3000,"&gt;="&amp;DATE(2021,5,1),'DATA INPUT'!$A$3:$A$3000,"&lt;"&amp;DATE(2021,5,31))=0,#N/A,(SUMIFS('DATA INPUT'!$E$3:$E$3000,'DATA INPUT'!$B$3:$B$3000,'Report Tables'!AC$1,'DATA INPUT'!$A$3:$A$3000,"&gt;="&amp;DATE(2021,5,1),'DATA INPUT'!$A$3:$A$3000,"&lt;"&amp;DATE(2021,5,31)))),IF(SUMIFS('DATA INPUT'!$E$3:$E$3000,'DATA INPUT'!$B$3:$B$3000,'Report Tables'!AC$1,'DATA INPUT'!$A$3:$A$3000,"&gt;="&amp;DATE(2021,5,1),'DATA INPUT'!$A$3:$A$3000,"&lt;"&amp;DATE(2021,5,31),'DATA INPUT'!$F$3:$F$3000,"&lt;&gt;*Exclude*")=0,#N/A,(SUMIFS('DATA INPUT'!$E$3:$E$3000,'DATA INPUT'!$B$3:$B$3000,'Report Tables'!AC$1,'DATA INPUT'!$A$3:$A$3000,"&gt;="&amp;DATE(2021,5,1),'DATA INPUT'!$A$3:$A$3000,"&lt;"&amp;DATE(2021,5,31),'DATA INPUT'!$F$3:$F$3000,"&lt;&gt;*Exclude*"))))</f>
        <v>#N/A</v>
      </c>
      <c r="AD55" s="136" t="e">
        <f>IF($L$2="Yes",IF(SUMIFS('DATA INPUT'!$E$3:$E$3000,'DATA INPUT'!$B$3:$B$3000,'Report Tables'!AD$1,'DATA INPUT'!$A$3:$A$3000,"&gt;="&amp;DATE(2021,5,1),'DATA INPUT'!$A$3:$A$3000,"&lt;"&amp;DATE(2021,5,31))=0,#N/A,(SUMIFS('DATA INPUT'!$E$3:$E$3000,'DATA INPUT'!$B$3:$B$3000,'Report Tables'!AD$1,'DATA INPUT'!$A$3:$A$3000,"&gt;="&amp;DATE(2021,5,1),'DATA INPUT'!$A$3:$A$3000,"&lt;"&amp;DATE(2021,5,31)))),IF(SUMIFS('DATA INPUT'!$E$3:$E$3000,'DATA INPUT'!$B$3:$B$3000,'Report Tables'!AD$1,'DATA INPUT'!$A$3:$A$3000,"&gt;="&amp;DATE(2021,5,1),'DATA INPUT'!$A$3:$A$3000,"&lt;"&amp;DATE(2021,5,31),'DATA INPUT'!$F$3:$F$3000,"&lt;&gt;*Exclude*")=0,#N/A,(SUMIFS('DATA INPUT'!$E$3:$E$3000,'DATA INPUT'!$B$3:$B$3000,'Report Tables'!AD$1,'DATA INPUT'!$A$3:$A$3000,"&gt;="&amp;DATE(2021,5,1),'DATA INPUT'!$A$3:$A$3000,"&lt;"&amp;DATE(2021,5,31),'DATA INPUT'!$F$3:$F$3000,"&lt;&gt;*Exclude*"))))</f>
        <v>#N/A</v>
      </c>
      <c r="AE55" s="136" t="e">
        <f>IF($L$2="Yes",IF(SUMIFS('DATA INPUT'!$E$3:$E$3000,'DATA INPUT'!$B$3:$B$3000,'Report Tables'!AE$1,'DATA INPUT'!$A$3:$A$3000,"&gt;="&amp;DATE(2021,5,1),'DATA INPUT'!$A$3:$A$3000,"&lt;"&amp;DATE(2021,5,31))=0,#N/A,(SUMIFS('DATA INPUT'!$E$3:$E$3000,'DATA INPUT'!$B$3:$B$3000,'Report Tables'!AE$1,'DATA INPUT'!$A$3:$A$3000,"&gt;="&amp;DATE(2021,5,1),'DATA INPUT'!$A$3:$A$3000,"&lt;"&amp;DATE(2021,5,31)))),IF(SUMIFS('DATA INPUT'!$E$3:$E$3000,'DATA INPUT'!$B$3:$B$3000,'Report Tables'!AE$1,'DATA INPUT'!$A$3:$A$3000,"&gt;="&amp;DATE(2021,5,1),'DATA INPUT'!$A$3:$A$3000,"&lt;"&amp;DATE(2021,5,31),'DATA INPUT'!$F$3:$F$3000,"&lt;&gt;*Exclude*")=0,#N/A,(SUMIFS('DATA INPUT'!$E$3:$E$3000,'DATA INPUT'!$B$3:$B$3000,'Report Tables'!AE$1,'DATA INPUT'!$A$3:$A$3000,"&gt;="&amp;DATE(2021,5,1),'DATA INPUT'!$A$3:$A$3000,"&lt;"&amp;DATE(2021,5,31),'DATA INPUT'!$F$3:$F$3000,"&lt;&gt;*Exclude*"))))</f>
        <v>#N/A</v>
      </c>
      <c r="AF55" s="136" t="e">
        <f>IF($L$2="Yes",IF(SUMIFS('DATA INPUT'!$E$3:$E$3000,'DATA INPUT'!$B$3:$B$3000,'Report Tables'!AF$1,'DATA INPUT'!$A$3:$A$3000,"&gt;="&amp;DATE(2021,5,1),'DATA INPUT'!$A$3:$A$3000,"&lt;"&amp;DATE(2021,5,31))=0,#N/A,(SUMIFS('DATA INPUT'!$E$3:$E$3000,'DATA INPUT'!$B$3:$B$3000,'Report Tables'!AF$1,'DATA INPUT'!$A$3:$A$3000,"&gt;="&amp;DATE(2021,5,1),'DATA INPUT'!$A$3:$A$3000,"&lt;"&amp;DATE(2021,5,31)))),IF(SUMIFS('DATA INPUT'!$E$3:$E$3000,'DATA INPUT'!$B$3:$B$3000,'Report Tables'!AF$1,'DATA INPUT'!$A$3:$A$3000,"&gt;="&amp;DATE(2021,5,1),'DATA INPUT'!$A$3:$A$3000,"&lt;"&amp;DATE(2021,5,31),'DATA INPUT'!$F$3:$F$3000,"&lt;&gt;*Exclude*")=0,#N/A,(SUMIFS('DATA INPUT'!$E$3:$E$3000,'DATA INPUT'!$B$3:$B$3000,'Report Tables'!AF$1,'DATA INPUT'!$A$3:$A$3000,"&gt;="&amp;DATE(2021,5,1),'DATA INPUT'!$A$3:$A$3000,"&lt;"&amp;DATE(2021,5,31),'DATA INPUT'!$F$3:$F$3000,"&lt;&gt;*Exclude*"))))</f>
        <v>#N/A</v>
      </c>
      <c r="AG55" s="136" t="e">
        <f>IF($L$2="Yes",IF(SUMIFS('DATA INPUT'!$E$3:$E$3000,'DATA INPUT'!$B$3:$B$3000,'Report Tables'!AG$1,'DATA INPUT'!$A$3:$A$3000,"&gt;="&amp;DATE(2021,5,1),'DATA INPUT'!$A$3:$A$3000,"&lt;"&amp;DATE(2021,5,31))=0,#N/A,(SUMIFS('DATA INPUT'!$E$3:$E$3000,'DATA INPUT'!$B$3:$B$3000,'Report Tables'!AG$1,'DATA INPUT'!$A$3:$A$3000,"&gt;="&amp;DATE(2021,5,1),'DATA INPUT'!$A$3:$A$3000,"&lt;"&amp;DATE(2021,5,31)))),IF(SUMIFS('DATA INPUT'!$E$3:$E$3000,'DATA INPUT'!$B$3:$B$3000,'Report Tables'!AG$1,'DATA INPUT'!$A$3:$A$3000,"&gt;="&amp;DATE(2021,5,1),'DATA INPUT'!$A$3:$A$3000,"&lt;"&amp;DATE(2021,5,31),'DATA INPUT'!$F$3:$F$3000,"&lt;&gt;*Exclude*")=0,#N/A,(SUMIFS('DATA INPUT'!$E$3:$E$3000,'DATA INPUT'!$B$3:$B$3000,'Report Tables'!AG$1,'DATA INPUT'!$A$3:$A$3000,"&gt;="&amp;DATE(2021,5,1),'DATA INPUT'!$A$3:$A$3000,"&lt;"&amp;DATE(2021,5,31),'DATA INPUT'!$F$3:$F$3000,"&lt;&gt;*Exclude*"))))</f>
        <v>#N/A</v>
      </c>
      <c r="AH55" s="136" t="e">
        <f>IF($L$2="Yes",IF(SUMIFS('DATA INPUT'!$E$3:$E$3000,'DATA INPUT'!$B$3:$B$3000,'Report Tables'!AH$1,'DATA INPUT'!$A$3:$A$3000,"&gt;="&amp;DATE(2021,5,1),'DATA INPUT'!$A$3:$A$3000,"&lt;"&amp;DATE(2021,5,31))=0,#N/A,(SUMIFS('DATA INPUT'!$E$3:$E$3000,'DATA INPUT'!$B$3:$B$3000,'Report Tables'!AH$1,'DATA INPUT'!$A$3:$A$3000,"&gt;="&amp;DATE(2021,5,1),'DATA INPUT'!$A$3:$A$3000,"&lt;"&amp;DATE(2021,5,31)))),IF(SUMIFS('DATA INPUT'!$E$3:$E$3000,'DATA INPUT'!$B$3:$B$3000,'Report Tables'!AH$1,'DATA INPUT'!$A$3:$A$3000,"&gt;="&amp;DATE(2021,5,1),'DATA INPUT'!$A$3:$A$3000,"&lt;"&amp;DATE(2021,5,31),'DATA INPUT'!$F$3:$F$3000,"&lt;&gt;*Exclude*")=0,#N/A,(SUMIFS('DATA INPUT'!$E$3:$E$3000,'DATA INPUT'!$B$3:$B$3000,'Report Tables'!AH$1,'DATA INPUT'!$A$3:$A$3000,"&gt;="&amp;DATE(2021,5,1),'DATA INPUT'!$A$3:$A$3000,"&lt;"&amp;DATE(2021,5,31),'DATA INPUT'!$F$3:$F$3000,"&lt;&gt;*Exclude*"))))</f>
        <v>#N/A</v>
      </c>
      <c r="AI55" s="136" t="e">
        <f t="shared" si="0"/>
        <v>#N/A</v>
      </c>
      <c r="AJ55" s="136" t="e">
        <f>IF($L$2="Yes",IF(SUMIFS('DATA INPUT'!$D$3:$D$3000,'DATA INPUT'!$A$3:$A$3000,"&gt;="&amp;DATE(2021,5,1),'DATA INPUT'!$A$3:$A$3000,"&lt;"&amp;DATE(2021,5,31),'DATA INPUT'!$G$3:$G$3000,"&lt;&gt;*School service*")=0,#N/A,(SUMIFS('DATA INPUT'!$D$3:$D$3000,'DATA INPUT'!$A$3:$A$3000,"&gt;="&amp;DATE(2021,5,1),'DATA INPUT'!$A$3:$A$3000,"&lt;"&amp;DATE(2021,5,31),'DATA INPUT'!$G$3:$G$3000,"&lt;&gt;*School service*"))),IF(SUMIFS('DATA INPUT'!$D$3:$D$3000,'DATA INPUT'!$A$3:$A$3000,"&gt;="&amp;DATE(2021,5,1),'DATA INPUT'!$A$3:$A$3000,"&lt;"&amp;DATE(2021,5,31),'DATA INPUT'!$F$3:$F$3000,"&lt;&gt;*Exclude*",'DATA INPUT'!$G$3:$G$3000,"&lt;&gt;*School service*")=0,#N/A,(SUMIFS('DATA INPUT'!$D$3:$D$3000,'DATA INPUT'!$A$3:$A$3000,"&gt;="&amp;DATE(2021,5,1),'DATA INPUT'!$A$3:$A$3000,"&lt;"&amp;DATE(2021,5,31),'DATA INPUT'!$F$3:$F$3000,"&lt;&gt;*Exclude*",'DATA INPUT'!$G$3:$G$3000,"&lt;&gt;*School service*"))))</f>
        <v>#N/A</v>
      </c>
      <c r="AK55" s="136" t="e">
        <f>AI55-AJ55</f>
        <v>#N/A</v>
      </c>
      <c r="AM55" s="117" t="e">
        <f>IF($L$2="Yes",IFERROR((SUMIFS('DATA INPUT'!$E$3:$E$3000,'DATA INPUT'!$B$3:$B$3000,'Report Tables'!AM$1,'DATA INPUT'!$A$3:$A$3000,"&gt;="&amp;DATE(2021,5,1),'DATA INPUT'!$A$3:$A$3000,"&lt;"&amp;DATE(2021,5,31)))/COUNTIFS('DATA INPUT'!$B$3:$B$3000,'Report Tables'!AM$1,'DATA INPUT'!$A$3:$A$3000,"&gt;="&amp;DATE(2021,5,1),'DATA INPUT'!$A$3:$A$3000,"&lt;"&amp;DATE(2021,5,31)),#N/A),IFERROR((SUMIFS('DATA INPUT'!$E$3:$E$3000,'DATA INPUT'!$B$3:$B$3000,'Report Tables'!AM$1,'DATA INPUT'!$A$3:$A$3000,"&gt;="&amp;DATE(2021,5,1),'DATA INPUT'!$A$3:$A$3000,"&lt;"&amp;DATE(2021,5,31),'DATA INPUT'!$F$3:$F$3000,"&lt;&gt;*Exclude*"))/(COUNTIFS('DATA INPUT'!$B$3:$B$3000,'Report Tables'!AM$1,'DATA INPUT'!$A$3:$A$3000,"&gt;="&amp;DATE(2021,5,1),'DATA INPUT'!$A$3:$A$3000,"&lt;"&amp;DATE(2021,5,31),'DATA INPUT'!$F$3:$F$3000,"&lt;&gt;*Exclude*")),#N/A))</f>
        <v>#N/A</v>
      </c>
      <c r="AN55" s="117" t="e">
        <f>IF($L$2="Yes",IFERROR((SUMIFS('DATA INPUT'!$E$3:$E$3000,'DATA INPUT'!$B$3:$B$3000,'Report Tables'!AN$1,'DATA INPUT'!$A$3:$A$3000,"&gt;="&amp;DATE(2021,5,1),'DATA INPUT'!$A$3:$A$3000,"&lt;"&amp;DATE(2021,5,31)))/COUNTIFS('DATA INPUT'!$B$3:$B$3000,'Report Tables'!AN$1,'DATA INPUT'!$A$3:$A$3000,"&gt;="&amp;DATE(2021,5,1),'DATA INPUT'!$A$3:$A$3000,"&lt;"&amp;DATE(2021,5,31)),#N/A),IFERROR((SUMIFS('DATA INPUT'!$E$3:$E$3000,'DATA INPUT'!$B$3:$B$3000,'Report Tables'!AN$1,'DATA INPUT'!$A$3:$A$3000,"&gt;="&amp;DATE(2021,5,1),'DATA INPUT'!$A$3:$A$3000,"&lt;"&amp;DATE(2021,5,31),'DATA INPUT'!$F$3:$F$3000,"&lt;&gt;*Exclude*"))/(COUNTIFS('DATA INPUT'!$B$3:$B$3000,'Report Tables'!AN$1,'DATA INPUT'!$A$3:$A$3000,"&gt;="&amp;DATE(2021,5,1),'DATA INPUT'!$A$3:$A$3000,"&lt;"&amp;DATE(2021,5,31),'DATA INPUT'!$F$3:$F$3000,"&lt;&gt;*Exclude*")),#N/A))</f>
        <v>#N/A</v>
      </c>
      <c r="AO55" s="117" t="e">
        <f>IF($L$2="Yes",IFERROR((SUMIFS('DATA INPUT'!$E$3:$E$3000,'DATA INPUT'!$B$3:$B$3000,'Report Tables'!AO$1,'DATA INPUT'!$A$3:$A$3000,"&gt;="&amp;DATE(2021,5,1),'DATA INPUT'!$A$3:$A$3000,"&lt;"&amp;DATE(2021,5,31)))/COUNTIFS('DATA INPUT'!$B$3:$B$3000,'Report Tables'!AO$1,'DATA INPUT'!$A$3:$A$3000,"&gt;="&amp;DATE(2021,5,1),'DATA INPUT'!$A$3:$A$3000,"&lt;"&amp;DATE(2021,5,31)),#N/A),IFERROR((SUMIFS('DATA INPUT'!$E$3:$E$3000,'DATA INPUT'!$B$3:$B$3000,'Report Tables'!AO$1,'DATA INPUT'!$A$3:$A$3000,"&gt;="&amp;DATE(2021,5,1),'DATA INPUT'!$A$3:$A$3000,"&lt;"&amp;DATE(2021,5,31),'DATA INPUT'!$F$3:$F$3000,"&lt;&gt;*Exclude*"))/(COUNTIFS('DATA INPUT'!$B$3:$B$3000,'Report Tables'!AO$1,'DATA INPUT'!$A$3:$A$3000,"&gt;="&amp;DATE(2021,5,1),'DATA INPUT'!$A$3:$A$3000,"&lt;"&amp;DATE(2021,5,31),'DATA INPUT'!$F$3:$F$3000,"&lt;&gt;*Exclude*")),#N/A))</f>
        <v>#N/A</v>
      </c>
      <c r="AP55" s="117" t="e">
        <f>IF($L$2="Yes",IFERROR((SUMIFS('DATA INPUT'!$E$3:$E$3000,'DATA INPUT'!$B$3:$B$3000,'Report Tables'!AP$1,'DATA INPUT'!$A$3:$A$3000,"&gt;="&amp;DATE(2021,5,1),'DATA INPUT'!$A$3:$A$3000,"&lt;"&amp;DATE(2021,5,31)))/COUNTIFS('DATA INPUT'!$B$3:$B$3000,'Report Tables'!AP$1,'DATA INPUT'!$A$3:$A$3000,"&gt;="&amp;DATE(2021,5,1),'DATA INPUT'!$A$3:$A$3000,"&lt;"&amp;DATE(2021,5,31)),#N/A),IFERROR((SUMIFS('DATA INPUT'!$E$3:$E$3000,'DATA INPUT'!$B$3:$B$3000,'Report Tables'!AP$1,'DATA INPUT'!$A$3:$A$3000,"&gt;="&amp;DATE(2021,5,1),'DATA INPUT'!$A$3:$A$3000,"&lt;"&amp;DATE(2021,5,31),'DATA INPUT'!$F$3:$F$3000,"&lt;&gt;*Exclude*"))/(COUNTIFS('DATA INPUT'!$B$3:$B$3000,'Report Tables'!AP$1,'DATA INPUT'!$A$3:$A$3000,"&gt;="&amp;DATE(2021,5,1),'DATA INPUT'!$A$3:$A$3000,"&lt;"&amp;DATE(2021,5,31),'DATA INPUT'!$F$3:$F$3000,"&lt;&gt;*Exclude*")),#N/A))</f>
        <v>#N/A</v>
      </c>
      <c r="AQ55" s="117" t="e">
        <f>IF($L$2="Yes",IFERROR((SUMIFS('DATA INPUT'!$E$3:$E$3000,'DATA INPUT'!$B$3:$B$3000,'Report Tables'!AQ$1,'DATA INPUT'!$A$3:$A$3000,"&gt;="&amp;DATE(2021,5,1),'DATA INPUT'!$A$3:$A$3000,"&lt;"&amp;DATE(2021,5,31)))/COUNTIFS('DATA INPUT'!$B$3:$B$3000,'Report Tables'!AQ$1,'DATA INPUT'!$A$3:$A$3000,"&gt;="&amp;DATE(2021,5,1),'DATA INPUT'!$A$3:$A$3000,"&lt;"&amp;DATE(2021,5,31)),#N/A),IFERROR((SUMIFS('DATA INPUT'!$E$3:$E$3000,'DATA INPUT'!$B$3:$B$3000,'Report Tables'!AQ$1,'DATA INPUT'!$A$3:$A$3000,"&gt;="&amp;DATE(2021,5,1),'DATA INPUT'!$A$3:$A$3000,"&lt;"&amp;DATE(2021,5,31),'DATA INPUT'!$F$3:$F$3000,"&lt;&gt;*Exclude*"))/(COUNTIFS('DATA INPUT'!$B$3:$B$3000,'Report Tables'!AQ$1,'DATA INPUT'!$A$3:$A$3000,"&gt;="&amp;DATE(2021,5,1),'DATA INPUT'!$A$3:$A$3000,"&lt;"&amp;DATE(2021,5,31),'DATA INPUT'!$F$3:$F$3000,"&lt;&gt;*Exclude*")),#N/A))</f>
        <v>#N/A</v>
      </c>
      <c r="AR55" s="117" t="e">
        <f>IF($L$2="Yes",IFERROR((SUMIFS('DATA INPUT'!$E$3:$E$3000,'DATA INPUT'!$B$3:$B$3000,'Report Tables'!AR$1,'DATA INPUT'!$A$3:$A$3000,"&gt;="&amp;DATE(2021,5,1),'DATA INPUT'!$A$3:$A$3000,"&lt;"&amp;DATE(2021,5,31)))/COUNTIFS('DATA INPUT'!$B$3:$B$3000,'Report Tables'!AR$1,'DATA INPUT'!$A$3:$A$3000,"&gt;="&amp;DATE(2021,5,1),'DATA INPUT'!$A$3:$A$3000,"&lt;"&amp;DATE(2021,5,31)),#N/A),IFERROR((SUMIFS('DATA INPUT'!$E$3:$E$3000,'DATA INPUT'!$B$3:$B$3000,'Report Tables'!AR$1,'DATA INPUT'!$A$3:$A$3000,"&gt;="&amp;DATE(2021,5,1),'DATA INPUT'!$A$3:$A$3000,"&lt;"&amp;DATE(2021,5,31),'DATA INPUT'!$F$3:$F$3000,"&lt;&gt;*Exclude*"))/(COUNTIFS('DATA INPUT'!$B$3:$B$3000,'Report Tables'!AR$1,'DATA INPUT'!$A$3:$A$3000,"&gt;="&amp;DATE(2021,5,1),'DATA INPUT'!$A$3:$A$3000,"&lt;"&amp;DATE(2021,5,31),'DATA INPUT'!$F$3:$F$3000,"&lt;&gt;*Exclude*")),#N/A))</f>
        <v>#N/A</v>
      </c>
      <c r="AS55" s="117" t="e">
        <f>IF($L$2="Yes",IFERROR((SUMIFS('DATA INPUT'!$E$3:$E$3000,'DATA INPUT'!$B$3:$B$3000,'Report Tables'!AS$1,'DATA INPUT'!$A$3:$A$3000,"&gt;="&amp;DATE(2021,5,1),'DATA INPUT'!$A$3:$A$3000,"&lt;"&amp;DATE(2021,5,31)))/COUNTIFS('DATA INPUT'!$B$3:$B$3000,'Report Tables'!AS$1,'DATA INPUT'!$A$3:$A$3000,"&gt;="&amp;DATE(2021,5,1),'DATA INPUT'!$A$3:$A$3000,"&lt;"&amp;DATE(2021,5,31)),#N/A),IFERROR((SUMIFS('DATA INPUT'!$E$3:$E$3000,'DATA INPUT'!$B$3:$B$3000,'Report Tables'!AS$1,'DATA INPUT'!$A$3:$A$3000,"&gt;="&amp;DATE(2021,5,1),'DATA INPUT'!$A$3:$A$3000,"&lt;"&amp;DATE(2021,5,31),'DATA INPUT'!$F$3:$F$3000,"&lt;&gt;*Exclude*"))/(COUNTIFS('DATA INPUT'!$B$3:$B$3000,'Report Tables'!AS$1,'DATA INPUT'!$A$3:$A$3000,"&gt;="&amp;DATE(2021,5,1),'DATA INPUT'!$A$3:$A$3000,"&lt;"&amp;DATE(2021,5,31),'DATA INPUT'!$F$3:$F$3000,"&lt;&gt;*Exclude*")),#N/A))</f>
        <v>#N/A</v>
      </c>
      <c r="AT55" s="117" t="e">
        <f>IF($L$2="Yes",IFERROR((SUMIFS('DATA INPUT'!$E$3:$E$3000,'DATA INPUT'!$B$3:$B$3000,'Report Tables'!AT$1,'DATA INPUT'!$A$3:$A$3000,"&gt;="&amp;DATE(2021,5,1),'DATA INPUT'!$A$3:$A$3000,"&lt;"&amp;DATE(2021,5,31)))/COUNTIFS('DATA INPUT'!$B$3:$B$3000,'Report Tables'!AT$1,'DATA INPUT'!$A$3:$A$3000,"&gt;="&amp;DATE(2021,5,1),'DATA INPUT'!$A$3:$A$3000,"&lt;"&amp;DATE(2021,5,31)),#N/A),IFERROR((SUMIFS('DATA INPUT'!$E$3:$E$3000,'DATA INPUT'!$B$3:$B$3000,'Report Tables'!AT$1,'DATA INPUT'!$A$3:$A$3000,"&gt;="&amp;DATE(2021,5,1),'DATA INPUT'!$A$3:$A$3000,"&lt;"&amp;DATE(2021,5,31),'DATA INPUT'!$F$3:$F$3000,"&lt;&gt;*Exclude*"))/(COUNTIFS('DATA INPUT'!$B$3:$B$3000,'Report Tables'!AT$1,'DATA INPUT'!$A$3:$A$3000,"&gt;="&amp;DATE(2021,5,1),'DATA INPUT'!$A$3:$A$3000,"&lt;"&amp;DATE(2021,5,31),'DATA INPUT'!$F$3:$F$3000,"&lt;&gt;*Exclude*")),#N/A))</f>
        <v>#N/A</v>
      </c>
      <c r="AU55" s="117" t="e">
        <f t="shared" si="1"/>
        <v>#N/A</v>
      </c>
      <c r="AV55" s="117" t="e">
        <f>IF($L$2="Yes",IFERROR((SUMIFS('DATA INPUT'!$D$3:$D$3000,'DATA INPUT'!$A$3:$A$3000,"&gt;="&amp;DATE(2021,5,1),'DATA INPUT'!$A$3:$A$3000,"&lt;"&amp;DATE(2021,5,31),'DATA INPUT'!$G$3:$G$3000,"&lt;&gt;*School service*"))/COUNTIFS('DATA INPUT'!$A$3:$A$3000,"&gt;="&amp;DATE(2021,5,1),'DATA INPUT'!$A$3:$A$3000,"&lt;"&amp;DATE(2021,5,31),'DATA INPUT'!$G$3:$G$3000,"&lt;&gt;*School service*",'DATA INPUT'!$D$3:$D$3000,"&lt;&gt;"&amp;""),#N/A),IFERROR((SUMIFS('DATA INPUT'!$D$3:$D$3000,'DATA INPUT'!$A$3:$A$3000,"&gt;="&amp;DATE(2021,5,1),'DATA INPUT'!$A$3:$A$3000,"&lt;"&amp;DATE(2021,5,31),'DATA INPUT'!$F$3:$F$3000,"&lt;&gt;*Exclude*",'DATA INPUT'!$G$3:$G$3000,"&lt;&gt;*School service*"))/(COUNTIFS('DATA INPUT'!$A$3:$A$3000,"&gt;="&amp;DATE(2021,5,1),'DATA INPUT'!$A$3:$A$3000,"&lt;"&amp;DATE(2021,5,31),'DATA INPUT'!$F$3:$F$3000,"&lt;&gt;*Exclude*",'DATA INPUT'!$G$3:$G$3000,"&lt;&gt;*School service*",'DATA INPUT'!$D$3:$D$3000,"&lt;&gt;"&amp;"")),#N/A))</f>
        <v>#N/A</v>
      </c>
      <c r="AW55" s="117" t="e">
        <f t="shared" si="2"/>
        <v>#N/A</v>
      </c>
      <c r="AX55" s="117" t="e">
        <f>IF($L$2="Yes",IFERROR((SUMIFS('DATA INPUT'!$E$3:$E$3000,'DATA INPUT'!$B$3:$B$3000,'Report Tables'!AX$1,'DATA INPUT'!$A$3:$A$3000,"&gt;="&amp;DATE(2021,5,1),'DATA INPUT'!$A$3:$A$3000,"&lt;"&amp;DATE(2021,5,31)))/COUNTIFS('DATA INPUT'!$B$3:$B$3000,'Report Tables'!AX$1,'DATA INPUT'!$A$3:$A$3000,"&gt;="&amp;DATE(2021,5,1),'DATA INPUT'!$A$3:$A$3000,"&lt;"&amp;DATE(2021,5,31)),#N/A),IFERROR((SUMIFS('DATA INPUT'!$E$3:$E$3000,'DATA INPUT'!$B$3:$B$3000,'Report Tables'!AX$1,'DATA INPUT'!$A$3:$A$3000,"&gt;="&amp;DATE(2021,5,1),'DATA INPUT'!$A$3:$A$3000,"&lt;"&amp;DATE(2021,5,31),'DATA INPUT'!$F$3:$F$3000,"&lt;&gt;*Exclude*"))/(COUNTIFS('DATA INPUT'!$B$3:$B$3000,'Report Tables'!AX$1,'DATA INPUT'!$A$3:$A$3000,"&gt;="&amp;DATE(2021,5,1),'DATA INPUT'!$A$3:$A$3000,"&lt;"&amp;DATE(2021,5,31),'DATA INPUT'!$F$3:$F$3000,"&lt;&gt;*Exclude*")),#N/A))</f>
        <v>#N/A</v>
      </c>
      <c r="AY55" s="117" t="e">
        <f>IF($L$2="Yes",IFERROR((SUMIFS('DATA INPUT'!$D$3:$D$3000,'DATA INPUT'!$B$3:$B$3000,'Report Tables'!AX$1,'DATA INPUT'!$A$3:$A$3000,"&gt;="&amp;DATE(2021,5,1),'DATA INPUT'!$A$3:$A$3000,"&lt;"&amp;DATE(2021,5,31)))/COUNTIFS('DATA INPUT'!$B$3:$B$3000,'Report Tables'!AX$1,'DATA INPUT'!$A$3:$A$3000,"&gt;="&amp;DATE(2021,5,1),'DATA INPUT'!$A$3:$A$3000,"&lt;"&amp;DATE(2021,5,31)),#N/A),IFERROR((SUMIFS('DATA INPUT'!$D$3:$D$3000,'DATA INPUT'!$B$3:$B$3000,'Report Tables'!AX$1,'DATA INPUT'!$A$3:$A$3000,"&gt;="&amp;DATE(2021,5,1),'DATA INPUT'!$A$3:$A$3000,"&lt;"&amp;DATE(2021,5,31),'DATA INPUT'!$F$3:$F$3000,"&lt;&gt;*Exclude*"))/(COUNTIFS('DATA INPUT'!$B$3:$B$3000,'Report Tables'!AX$1,'DATA INPUT'!$A$3:$A$3000,"&gt;="&amp;DATE(2021,5,1),'DATA INPUT'!$A$3:$A$3000,"&lt;"&amp;DATE(2021,5,31),'DATA INPUT'!$F$3:$F$3000,"&lt;&gt;*Exclude*")),#N/A))</f>
        <v>#N/A</v>
      </c>
      <c r="AZ55" s="117" t="e">
        <f>IF($L$2="Yes",IFERROR((SUMIFS('DATA INPUT'!$C$3:$C$3000,'DATA INPUT'!$B$3:$B$3000,'Report Tables'!AX$1,'DATA INPUT'!$A$3:$A$3000,"&gt;="&amp;DATE(2021,5,1),'DATA INPUT'!$A$3:$A$3000,"&lt;"&amp;DATE(2021,5,31)))/COUNTIFS('DATA INPUT'!$B$3:$B$3000,'Report Tables'!AX$1,'DATA INPUT'!$A$3:$A$3000,"&gt;="&amp;DATE(2021,5,1),'DATA INPUT'!$A$3:$A$3000,"&lt;"&amp;DATE(2021,5,31)),#N/A),IFERROR((SUMIFS('DATA INPUT'!$C$3:$C$3000,'DATA INPUT'!$B$3:$B$3000,'Report Tables'!AX$1,'DATA INPUT'!$A$3:$A$3000,"&gt;="&amp;DATE(2021,5,1),'DATA INPUT'!$A$3:$A$3000,"&lt;"&amp;DATE(2021,5,31),'DATA INPUT'!$F$3:$F$3000,"&lt;&gt;*Exclude*"))/(COUNTIFS('DATA INPUT'!$B$3:$B$3000,'Report Tables'!AX$1,'DATA INPUT'!$A$3:$A$3000,"&gt;="&amp;DATE(2021,5,1),'DATA INPUT'!$A$3:$A$3000,"&lt;"&amp;DATE(2021,5,31),'DATA INPUT'!$F$3:$F$3000,"&lt;&gt;*Exclude*")),#N/A))</f>
        <v>#N/A</v>
      </c>
    </row>
    <row r="56" spans="1:52" x14ac:dyDescent="0.3">
      <c r="A56" s="95" t="e">
        <f>VLOOKUP(B56,Information!$C$8:$F$15,4,FALSE)</f>
        <v>#N/A</v>
      </c>
      <c r="B56" s="53">
        <f>$B$8</f>
        <v>0</v>
      </c>
      <c r="C56" s="58" t="e">
        <f>IF($L$2="Yes",(SUMIFS('DATA INPUT'!$D$3:$D$3000,'DATA INPUT'!$A$3:$A$3000,"&gt;="&amp;DATE(2017,1,1),'DATA INPUT'!$A$3:$A$3000,"&lt;="&amp;DATE(2017,12,31),'DATA INPUT'!$B$3:$B$3000,$B56))/(COUNTIFS('DATA INPUT'!$A$3:$A$3000,"&gt;="&amp;DATE(2017,1,1),'DATA INPUT'!$A$3:$A$3000,"&lt;="&amp;DATE(2017,12,31),'DATA INPUT'!$B$3:$B$3000,$B56)),(SUMIFS('DATA INPUT'!$D$3:$D$3000,'DATA INPUT'!$A$3:$A$3000,"&gt;="&amp;DATE(2017,1,1),'DATA INPUT'!$A$3:$A$3000,"&lt;="&amp;DATE(2017,12,31),'DATA INPUT'!$B$3:$B$3000,$B56,'DATA INPUT'!$F$3:$F$3000,"&lt;&gt;*Exclude*"))/(COUNTIFS('DATA INPUT'!$A$3:$A$3000,"&gt;="&amp;DATE(2017,1,1),'DATA INPUT'!$A$3:$A$3000,"&lt;="&amp;DATE(2017,12,31),'DATA INPUT'!$B$3:$B$3000,$B56,'DATA INPUT'!$F$3:$F$3000,"&lt;&gt;*Exclude*")))</f>
        <v>#DIV/0!</v>
      </c>
      <c r="D56" s="58" t="e">
        <f>IF($L$2="Yes",(SUMIFS('DATA INPUT'!$D$3:$D$3000,'DATA INPUT'!$A$3:$A$3000,"&gt;="&amp;DATE(2018,1,1),'DATA INPUT'!$A$3:$A$3000,"&lt;="&amp;DATE(2018,12,31),'DATA INPUT'!$B$3:$B$3000,$B56))/(COUNTIFS('DATA INPUT'!$A$3:$A$3000,"&gt;="&amp;DATE(2018,1,1),'DATA INPUT'!$A$3:$A$3000,"&lt;="&amp;DATE(2018,12,31),'DATA INPUT'!$B$3:$B$3000,$B56)),(SUMIFS('DATA INPUT'!$D$3:$D$3000,'DATA INPUT'!$A$3:$A$3000,"&gt;="&amp;DATE(2018,1,1),'DATA INPUT'!$A$3:$A$3000,"&lt;="&amp;DATE(2018,12,31),'DATA INPUT'!$B$3:$B$3000,$B56,'DATA INPUT'!$F$3:$F$3000,"&lt;&gt;*Exclude*"))/(COUNTIFS('DATA INPUT'!$A$3:$A$3000,"&gt;="&amp;DATE(2018,1,1),'DATA INPUT'!$A$3:$A$3000,"&lt;="&amp;DATE(2018,12,31),'DATA INPUT'!$B$3:$B$3000,$B56,'DATA INPUT'!$F$3:$F$3000,"&lt;&gt;*Exclude*")))</f>
        <v>#DIV/0!</v>
      </c>
      <c r="E56" s="58" t="e">
        <f>IF($L$2="Yes",(SUMIFS('DATA INPUT'!$D$3:$D$3000,'DATA INPUT'!$A$3:$A$3000,"&gt;="&amp;DATE(2019,1,1),'DATA INPUT'!$A$3:$A$3000,"&lt;="&amp;DATE(2019,12,31),'DATA INPUT'!$B$3:$B$3000,$B56))/(COUNTIFS('DATA INPUT'!$A$3:$A$3000,"&gt;="&amp;DATE(2019,1,1),'DATA INPUT'!$A$3:$A$3000,"&lt;="&amp;DATE(2019,12,31),'DATA INPUT'!$B$3:$B$3000,$B56)),(SUMIFS('DATA INPUT'!$D$3:$D$3000,'DATA INPUT'!$A$3:$A$3000,"&gt;="&amp;DATE(2019,1,1),'DATA INPUT'!$A$3:$A$3000,"&lt;="&amp;DATE(2019,12,31),'DATA INPUT'!$B$3:$B$3000,$B56,'DATA INPUT'!$F$3:$F$3000,"&lt;&gt;*Exclude*"))/(COUNTIFS('DATA INPUT'!$A$3:$A$3000,"&gt;="&amp;DATE(2019,1,1),'DATA INPUT'!$A$3:$A$3000,"&lt;="&amp;DATE(2019,12,31),'DATA INPUT'!$B$3:$B$3000,$B56,'DATA INPUT'!$F$3:$F$3000,"&lt;&gt;*Exclude*")))</f>
        <v>#DIV/0!</v>
      </c>
      <c r="F56" s="58" t="e">
        <f>IF($L$2="Yes",(SUMIFS('DATA INPUT'!$D$3:$D$3000,'DATA INPUT'!$A$3:$A$3000,"&gt;="&amp;DATE(2020,1,1),'DATA INPUT'!$A$3:$A$3000,"&lt;="&amp;DATE(2020,12,31),'DATA INPUT'!$B$3:$B$3000,$B56))/(COUNTIFS('DATA INPUT'!$A$3:$A$3000,"&gt;="&amp;DATE(2020,1,1),'DATA INPUT'!$A$3:$A$3000,"&lt;="&amp;DATE(2020,12,31),'DATA INPUT'!$B$3:$B$3000,$B56)),(SUMIFS('DATA INPUT'!$D$3:$D$3000,'DATA INPUT'!$A$3:$A$3000,"&gt;="&amp;DATE(2020,1,1),'DATA INPUT'!$A$3:$A$3000,"&lt;="&amp;DATE(2020,12,31),'DATA INPUT'!$B$3:$B$3000,$B56,'DATA INPUT'!$F$3:$F$3000,"&lt;&gt;*Exclude*"))/(COUNTIFS('DATA INPUT'!$A$3:$A$3000,"&gt;="&amp;DATE(2020,1,1),'DATA INPUT'!$A$3:$A$3000,"&lt;="&amp;DATE(2020,12,31),'DATA INPUT'!$B$3:$B$3000,$B56,'DATA INPUT'!$F$3:$F$3000,"&lt;&gt;*Exclude*")))</f>
        <v>#DIV/0!</v>
      </c>
      <c r="G56" s="58" t="e">
        <f>IF($L$2="Yes",(SUMIFS('DATA INPUT'!$D$3:$D$3000,'DATA INPUT'!$A$3:$A$3000,"&gt;="&amp;DATE(2021,1,1),'DATA INPUT'!$A$3:$A$3000,"&lt;="&amp;DATE(2021,12,31),'DATA INPUT'!$B$3:$B$3000,$B56))/(COUNTIFS('DATA INPUT'!$A$3:$A$3000,"&gt;="&amp;DATE(2021,1,1),'DATA INPUT'!$A$3:$A$3000,"&lt;="&amp;DATE(2021,12,31),'DATA INPUT'!$B$3:$B$3000,$B56)),(SUMIFS('DATA INPUT'!$D$3:$D$3000,'DATA INPUT'!$A$3:$A$3000,"&gt;="&amp;DATE(2021,1,1),'DATA INPUT'!$A$3:$A$3000,"&lt;="&amp;DATE(2021,12,31),'DATA INPUT'!$B$3:$B$3000,$B56,'DATA INPUT'!$F$3:$F$3000,"&lt;&gt;*Exclude*"))/(COUNTIFS('DATA INPUT'!$A$3:$A$3000,"&gt;="&amp;DATE(2021,1,1),'DATA INPUT'!$A$3:$A$3000,"&lt;="&amp;DATE(2021,12,31),'DATA INPUT'!$B$3:$B$3000,$B56,'DATA INPUT'!$F$3:$F$3000,"&lt;&gt;*Exclude*")))</f>
        <v>#DIV/0!</v>
      </c>
      <c r="H56" s="58" t="e">
        <f>IF($L$2="Yes",(SUMIFS('DATA INPUT'!$D$3:$D$3000,'DATA INPUT'!$A$3:$A$3000,"&gt;="&amp;DATE(2022,1,1),'DATA INPUT'!$A$3:$A$3000,"&lt;="&amp;DATE(2022,12,31),'DATA INPUT'!$B$3:$B$3000,$B56))/(COUNTIFS('DATA INPUT'!$A$3:$A$3000,"&gt;="&amp;DATE(2022,1,1),'DATA INPUT'!$A$3:$A$3000,"&lt;="&amp;DATE(2022,12,31),'DATA INPUT'!$B$3:$B$3000,$B56)),(SUMIFS('DATA INPUT'!$D$3:$D$3000,'DATA INPUT'!$A$3:$A$3000,"&gt;="&amp;DATE(2022,1,1),'DATA INPUT'!$A$3:$A$3000,"&lt;="&amp;DATE(2022,12,31),'DATA INPUT'!$B$3:$B$3000,$B56,'DATA INPUT'!$F$3:$F$3000,"&lt;&gt;*Exclude*"))/(COUNTIFS('DATA INPUT'!$A$3:$A$3000,"&gt;="&amp;DATE(2022,1,1),'DATA INPUT'!$A$3:$A$3000,"&lt;="&amp;DATE(2022,12,31),'DATA INPUT'!$B$3:$B$3000,$B56,'DATA INPUT'!$F$3:$F$3000,"&lt;&gt;*Exclude*")))</f>
        <v>#DIV/0!</v>
      </c>
      <c r="I56" s="58" t="e">
        <f>IF($L$2="Yes",(SUMIFS('DATA INPUT'!$D$3:$D$3000,'DATA INPUT'!$A$3:$A$3000,"&gt;="&amp;DATE(2023,1,1),'DATA INPUT'!$A$3:$A$3000,"&lt;="&amp;DATE(2023,12,31),'DATA INPUT'!$B$3:$B$3000,$B56))/(COUNTIFS('DATA INPUT'!$A$3:$A$3000,"&gt;="&amp;DATE(2023,1,1),'DATA INPUT'!$A$3:$A$3000,"&lt;="&amp;DATE(2023,12,31),'DATA INPUT'!$B$3:$B$3000,$B56)),(SUMIFS('DATA INPUT'!$D$3:$D$3000,'DATA INPUT'!$A$3:$A$3000,"&gt;="&amp;DATE(2023,1,1),'DATA INPUT'!$A$3:$A$3000,"&lt;="&amp;DATE(2023,12,31),'DATA INPUT'!$B$3:$B$3000,$B56,'DATA INPUT'!$F$3:$F$3000,"&lt;&gt;*Exclude*"))/(COUNTIFS('DATA INPUT'!$A$3:$A$3000,"&gt;="&amp;DATE(2023,1,1),'DATA INPUT'!$A$3:$A$3000,"&lt;="&amp;DATE(2023,12,31),'DATA INPUT'!$B$3:$B$3000,$B56,'DATA INPUT'!$F$3:$F$3000,"&lt;&gt;*Exclude*")))</f>
        <v>#DIV/0!</v>
      </c>
      <c r="J56" s="58" t="e">
        <f>IF($L$2="Yes",(SUMIFS('DATA INPUT'!$D$3:$D$3000,'DATA INPUT'!$A$3:$A$3000,"&gt;="&amp;DATE(2024,1,1),'DATA INPUT'!$A$3:$A$3000,"&lt;="&amp;DATE(2024,12,31),'DATA INPUT'!$B$3:$B$3000,$B56))/(COUNTIFS('DATA INPUT'!$A$3:$A$3000,"&gt;="&amp;DATE(2024,1,1),'DATA INPUT'!$A$3:$A$3000,"&lt;="&amp;DATE(2024,12,31),'DATA INPUT'!$B$3:$B$3000,$B56)),(SUMIFS('DATA INPUT'!$D$3:$D$3000,'DATA INPUT'!$A$3:$A$3000,"&gt;="&amp;DATE(2024,1,1),'DATA INPUT'!$A$3:$A$3000,"&lt;="&amp;DATE(2024,12,31),'DATA INPUT'!$B$3:$B$3000,$B56,'DATA INPUT'!$F$3:$F$3000,"&lt;&gt;*Exclude*"))/(COUNTIFS('DATA INPUT'!$A$3:$A$3000,"&gt;="&amp;DATE(2024,1,1),'DATA INPUT'!$A$3:$A$3000,"&lt;="&amp;DATE(2024,12,31),'DATA INPUT'!$B$3:$B$3000,$B56,'DATA INPUT'!$F$3:$F$3000,"&lt;&gt;*Exclude*")))</f>
        <v>#DIV/0!</v>
      </c>
      <c r="K56" s="58" t="e">
        <f>IF($L$2="Yes",(SUMIFS('DATA INPUT'!$D$3:$D$3000,'DATA INPUT'!$A$3:$A$3000,"&gt;="&amp;DATE(2025,1,1),'DATA INPUT'!$A$3:$A$3000,"&lt;="&amp;DATE(2025,12,31),'DATA INPUT'!$B$3:$B$3000,$B56))/(COUNTIFS('DATA INPUT'!$A$3:$A$3000,"&gt;="&amp;DATE(2025,1,1),'DATA INPUT'!$A$3:$A$3000,"&lt;="&amp;DATE(2025,12,31),'DATA INPUT'!$B$3:$B$3000,$B56)),(SUMIFS('DATA INPUT'!$D$3:$D$3000,'DATA INPUT'!$A$3:$A$3000,"&gt;="&amp;DATE(2025,1,1),'DATA INPUT'!$A$3:$A$3000,"&lt;="&amp;DATE(2025,12,31),'DATA INPUT'!$B$3:$B$3000,$B56,'DATA INPUT'!$F$3:$F$3000,"&lt;&gt;*Exclude*"))/(COUNTIFS('DATA INPUT'!$A$3:$A$3000,"&gt;="&amp;DATE(2025,1,1),'DATA INPUT'!$A$3:$A$3000,"&lt;="&amp;DATE(2025,12,31),'DATA INPUT'!$B$3:$B$3000,$B56,'DATA INPUT'!$F$3:$F$3000,"&lt;&gt;*Exclude*")))</f>
        <v>#DIV/0!</v>
      </c>
      <c r="L56" s="72" t="str">
        <f t="shared" si="20"/>
        <v/>
      </c>
      <c r="Y56" s="149"/>
      <c r="Z56" s="149" t="s">
        <v>17</v>
      </c>
      <c r="AA56" s="136" t="e">
        <f>IF($L$2="Yes",IF(SUMIFS('DATA INPUT'!$E$3:$E$3000,'DATA INPUT'!$B$3:$B$3000,'Report Tables'!AA$1,'DATA INPUT'!$A$3:$A$3000,"&gt;="&amp;DATE(2021,6,1),'DATA INPUT'!$A$3:$A$3000,"&lt;"&amp;DATE(2021,6,31))=0,#N/A,(SUMIFS('DATA INPUT'!$E$3:$E$3000,'DATA INPUT'!$B$3:$B$3000,'Report Tables'!AA$1,'DATA INPUT'!$A$3:$A$3000,"&gt;="&amp;DATE(2021,6,1),'DATA INPUT'!$A$3:$A$3000,"&lt;"&amp;DATE(2021,6,31)))),IF(SUMIFS('DATA INPUT'!$E$3:$E$3000,'DATA INPUT'!$B$3:$B$3000,'Report Tables'!AA$1,'DATA INPUT'!$A$3:$A$3000,"&gt;="&amp;DATE(2021,6,1),'DATA INPUT'!$A$3:$A$3000,"&lt;"&amp;DATE(2021,6,31),'DATA INPUT'!$F$3:$F$3000,"&lt;&gt;*Exclude*")=0,#N/A,(SUMIFS('DATA INPUT'!$E$3:$E$3000,'DATA INPUT'!$B$3:$B$3000,'Report Tables'!AA$1,'DATA INPUT'!$A$3:$A$3000,"&gt;="&amp;DATE(2021,6,1),'DATA INPUT'!$A$3:$A$3000,"&lt;"&amp;DATE(2021,6,31),'DATA INPUT'!$F$3:$F$3000,"&lt;&gt;*Exclude*"))))</f>
        <v>#N/A</v>
      </c>
      <c r="AB56" s="136" t="e">
        <f>IF($L$2="Yes",IF(SUMIFS('DATA INPUT'!$E$3:$E$3000,'DATA INPUT'!$B$3:$B$3000,'Report Tables'!AB$1,'DATA INPUT'!$A$3:$A$3000,"&gt;="&amp;DATE(2021,6,1),'DATA INPUT'!$A$3:$A$3000,"&lt;"&amp;DATE(2021,6,31))=0,#N/A,(SUMIFS('DATA INPUT'!$E$3:$E$3000,'DATA INPUT'!$B$3:$B$3000,'Report Tables'!AB$1,'DATA INPUT'!$A$3:$A$3000,"&gt;="&amp;DATE(2021,6,1),'DATA INPUT'!$A$3:$A$3000,"&lt;"&amp;DATE(2021,6,31)))),IF(SUMIFS('DATA INPUT'!$E$3:$E$3000,'DATA INPUT'!$B$3:$B$3000,'Report Tables'!AB$1,'DATA INPUT'!$A$3:$A$3000,"&gt;="&amp;DATE(2021,6,1),'DATA INPUT'!$A$3:$A$3000,"&lt;"&amp;DATE(2021,6,31),'DATA INPUT'!$F$3:$F$3000,"&lt;&gt;*Exclude*")=0,#N/A,(SUMIFS('DATA INPUT'!$E$3:$E$3000,'DATA INPUT'!$B$3:$B$3000,'Report Tables'!AB$1,'DATA INPUT'!$A$3:$A$3000,"&gt;="&amp;DATE(2021,6,1),'DATA INPUT'!$A$3:$A$3000,"&lt;"&amp;DATE(2021,6,31),'DATA INPUT'!$F$3:$F$3000,"&lt;&gt;*Exclude*"))))</f>
        <v>#N/A</v>
      </c>
      <c r="AC56" s="136" t="e">
        <f>IF($L$2="Yes",IF(SUMIFS('DATA INPUT'!$E$3:$E$3000,'DATA INPUT'!$B$3:$B$3000,'Report Tables'!AC$1,'DATA INPUT'!$A$3:$A$3000,"&gt;="&amp;DATE(2021,6,1),'DATA INPUT'!$A$3:$A$3000,"&lt;"&amp;DATE(2021,6,31))=0,#N/A,(SUMIFS('DATA INPUT'!$E$3:$E$3000,'DATA INPUT'!$B$3:$B$3000,'Report Tables'!AC$1,'DATA INPUT'!$A$3:$A$3000,"&gt;="&amp;DATE(2021,6,1),'DATA INPUT'!$A$3:$A$3000,"&lt;"&amp;DATE(2021,6,31)))),IF(SUMIFS('DATA INPUT'!$E$3:$E$3000,'DATA INPUT'!$B$3:$B$3000,'Report Tables'!AC$1,'DATA INPUT'!$A$3:$A$3000,"&gt;="&amp;DATE(2021,6,1),'DATA INPUT'!$A$3:$A$3000,"&lt;"&amp;DATE(2021,6,31),'DATA INPUT'!$F$3:$F$3000,"&lt;&gt;*Exclude*")=0,#N/A,(SUMIFS('DATA INPUT'!$E$3:$E$3000,'DATA INPUT'!$B$3:$B$3000,'Report Tables'!AC$1,'DATA INPUT'!$A$3:$A$3000,"&gt;="&amp;DATE(2021,6,1),'DATA INPUT'!$A$3:$A$3000,"&lt;"&amp;DATE(2021,6,31),'DATA INPUT'!$F$3:$F$3000,"&lt;&gt;*Exclude*"))))</f>
        <v>#N/A</v>
      </c>
      <c r="AD56" s="136" t="e">
        <f>IF($L$2="Yes",IF(SUMIFS('DATA INPUT'!$E$3:$E$3000,'DATA INPUT'!$B$3:$B$3000,'Report Tables'!AD$1,'DATA INPUT'!$A$3:$A$3000,"&gt;="&amp;DATE(2021,6,1),'DATA INPUT'!$A$3:$A$3000,"&lt;"&amp;DATE(2021,6,31))=0,#N/A,(SUMIFS('DATA INPUT'!$E$3:$E$3000,'DATA INPUT'!$B$3:$B$3000,'Report Tables'!AD$1,'DATA INPUT'!$A$3:$A$3000,"&gt;="&amp;DATE(2021,6,1),'DATA INPUT'!$A$3:$A$3000,"&lt;"&amp;DATE(2021,6,31)))),IF(SUMIFS('DATA INPUT'!$E$3:$E$3000,'DATA INPUT'!$B$3:$B$3000,'Report Tables'!AD$1,'DATA INPUT'!$A$3:$A$3000,"&gt;="&amp;DATE(2021,6,1),'DATA INPUT'!$A$3:$A$3000,"&lt;"&amp;DATE(2021,6,31),'DATA INPUT'!$F$3:$F$3000,"&lt;&gt;*Exclude*")=0,#N/A,(SUMIFS('DATA INPUT'!$E$3:$E$3000,'DATA INPUT'!$B$3:$B$3000,'Report Tables'!AD$1,'DATA INPUT'!$A$3:$A$3000,"&gt;="&amp;DATE(2021,6,1),'DATA INPUT'!$A$3:$A$3000,"&lt;"&amp;DATE(2021,6,31),'DATA INPUT'!$F$3:$F$3000,"&lt;&gt;*Exclude*"))))</f>
        <v>#N/A</v>
      </c>
      <c r="AE56" s="136" t="e">
        <f>IF($L$2="Yes",IF(SUMIFS('DATA INPUT'!$E$3:$E$3000,'DATA INPUT'!$B$3:$B$3000,'Report Tables'!AE$1,'DATA INPUT'!$A$3:$A$3000,"&gt;="&amp;DATE(2021,6,1),'DATA INPUT'!$A$3:$A$3000,"&lt;"&amp;DATE(2021,6,31))=0,#N/A,(SUMIFS('DATA INPUT'!$E$3:$E$3000,'DATA INPUT'!$B$3:$B$3000,'Report Tables'!AE$1,'DATA INPUT'!$A$3:$A$3000,"&gt;="&amp;DATE(2021,6,1),'DATA INPUT'!$A$3:$A$3000,"&lt;"&amp;DATE(2021,6,31)))),IF(SUMIFS('DATA INPUT'!$E$3:$E$3000,'DATA INPUT'!$B$3:$B$3000,'Report Tables'!AE$1,'DATA INPUT'!$A$3:$A$3000,"&gt;="&amp;DATE(2021,6,1),'DATA INPUT'!$A$3:$A$3000,"&lt;"&amp;DATE(2021,6,31),'DATA INPUT'!$F$3:$F$3000,"&lt;&gt;*Exclude*")=0,#N/A,(SUMIFS('DATA INPUT'!$E$3:$E$3000,'DATA INPUT'!$B$3:$B$3000,'Report Tables'!AE$1,'DATA INPUT'!$A$3:$A$3000,"&gt;="&amp;DATE(2021,6,1),'DATA INPUT'!$A$3:$A$3000,"&lt;"&amp;DATE(2021,6,31),'DATA INPUT'!$F$3:$F$3000,"&lt;&gt;*Exclude*"))))</f>
        <v>#N/A</v>
      </c>
      <c r="AF56" s="136" t="e">
        <f>IF($L$2="Yes",IF(SUMIFS('DATA INPUT'!$E$3:$E$3000,'DATA INPUT'!$B$3:$B$3000,'Report Tables'!AF$1,'DATA INPUT'!$A$3:$A$3000,"&gt;="&amp;DATE(2021,6,1),'DATA INPUT'!$A$3:$A$3000,"&lt;"&amp;DATE(2021,6,31))=0,#N/A,(SUMIFS('DATA INPUT'!$E$3:$E$3000,'DATA INPUT'!$B$3:$B$3000,'Report Tables'!AF$1,'DATA INPUT'!$A$3:$A$3000,"&gt;="&amp;DATE(2021,6,1),'DATA INPUT'!$A$3:$A$3000,"&lt;"&amp;DATE(2021,6,31)))),IF(SUMIFS('DATA INPUT'!$E$3:$E$3000,'DATA INPUT'!$B$3:$B$3000,'Report Tables'!AF$1,'DATA INPUT'!$A$3:$A$3000,"&gt;="&amp;DATE(2021,6,1),'DATA INPUT'!$A$3:$A$3000,"&lt;"&amp;DATE(2021,6,31),'DATA INPUT'!$F$3:$F$3000,"&lt;&gt;*Exclude*")=0,#N/A,(SUMIFS('DATA INPUT'!$E$3:$E$3000,'DATA INPUT'!$B$3:$B$3000,'Report Tables'!AF$1,'DATA INPUT'!$A$3:$A$3000,"&gt;="&amp;DATE(2021,6,1),'DATA INPUT'!$A$3:$A$3000,"&lt;"&amp;DATE(2021,6,31),'DATA INPUT'!$F$3:$F$3000,"&lt;&gt;*Exclude*"))))</f>
        <v>#N/A</v>
      </c>
      <c r="AG56" s="136" t="e">
        <f>IF($L$2="Yes",IF(SUMIFS('DATA INPUT'!$E$3:$E$3000,'DATA INPUT'!$B$3:$B$3000,'Report Tables'!AG$1,'DATA INPUT'!$A$3:$A$3000,"&gt;="&amp;DATE(2021,6,1),'DATA INPUT'!$A$3:$A$3000,"&lt;"&amp;DATE(2021,6,31))=0,#N/A,(SUMIFS('DATA INPUT'!$E$3:$E$3000,'DATA INPUT'!$B$3:$B$3000,'Report Tables'!AG$1,'DATA INPUT'!$A$3:$A$3000,"&gt;="&amp;DATE(2021,6,1),'DATA INPUT'!$A$3:$A$3000,"&lt;"&amp;DATE(2021,6,31)))),IF(SUMIFS('DATA INPUT'!$E$3:$E$3000,'DATA INPUT'!$B$3:$B$3000,'Report Tables'!AG$1,'DATA INPUT'!$A$3:$A$3000,"&gt;="&amp;DATE(2021,6,1),'DATA INPUT'!$A$3:$A$3000,"&lt;"&amp;DATE(2021,6,31),'DATA INPUT'!$F$3:$F$3000,"&lt;&gt;*Exclude*")=0,#N/A,(SUMIFS('DATA INPUT'!$E$3:$E$3000,'DATA INPUT'!$B$3:$B$3000,'Report Tables'!AG$1,'DATA INPUT'!$A$3:$A$3000,"&gt;="&amp;DATE(2021,6,1),'DATA INPUT'!$A$3:$A$3000,"&lt;"&amp;DATE(2021,6,31),'DATA INPUT'!$F$3:$F$3000,"&lt;&gt;*Exclude*"))))</f>
        <v>#N/A</v>
      </c>
      <c r="AH56" s="136" t="e">
        <f>IF($L$2="Yes",IF(SUMIFS('DATA INPUT'!$E$3:$E$3000,'DATA INPUT'!$B$3:$B$3000,'Report Tables'!AH$1,'DATA INPUT'!$A$3:$A$3000,"&gt;="&amp;DATE(2021,6,1),'DATA INPUT'!$A$3:$A$3000,"&lt;"&amp;DATE(2021,6,31))=0,#N/A,(SUMIFS('DATA INPUT'!$E$3:$E$3000,'DATA INPUT'!$B$3:$B$3000,'Report Tables'!AH$1,'DATA INPUT'!$A$3:$A$3000,"&gt;="&amp;DATE(2021,6,1),'DATA INPUT'!$A$3:$A$3000,"&lt;"&amp;DATE(2021,6,31)))),IF(SUMIFS('DATA INPUT'!$E$3:$E$3000,'DATA INPUT'!$B$3:$B$3000,'Report Tables'!AH$1,'DATA INPUT'!$A$3:$A$3000,"&gt;="&amp;DATE(2021,6,1),'DATA INPUT'!$A$3:$A$3000,"&lt;"&amp;DATE(2021,6,31),'DATA INPUT'!$F$3:$F$3000,"&lt;&gt;*Exclude*")=0,#N/A,(SUMIFS('DATA INPUT'!$E$3:$E$3000,'DATA INPUT'!$B$3:$B$3000,'Report Tables'!AH$1,'DATA INPUT'!$A$3:$A$3000,"&gt;="&amp;DATE(2021,6,1),'DATA INPUT'!$A$3:$A$3000,"&lt;"&amp;DATE(2021,6,31),'DATA INPUT'!$F$3:$F$3000,"&lt;&gt;*Exclude*"))))</f>
        <v>#N/A</v>
      </c>
      <c r="AI56" s="136" t="e">
        <f t="shared" si="0"/>
        <v>#N/A</v>
      </c>
      <c r="AJ56" s="136" t="e">
        <f>IF($L$2="Yes",IF(SUMIFS('DATA INPUT'!$D$3:$D$3000,'DATA INPUT'!$A$3:$A$3000,"&gt;="&amp;DATE(2021,6,1),'DATA INPUT'!$A$3:$A$3000,"&lt;"&amp;DATE(2021,6,31),'DATA INPUT'!$G$3:$G$3000,"&lt;&gt;*School service*")=0,#N/A,(SUMIFS('DATA INPUT'!$D$3:$D$3000,'DATA INPUT'!$A$3:$A$3000,"&gt;="&amp;DATE(2021,6,1),'DATA INPUT'!$A$3:$A$3000,"&lt;"&amp;DATE(2021,6,31),'DATA INPUT'!$G$3:$G$3000,"&lt;&gt;*School service*"))),IF(SUMIFS('DATA INPUT'!$D$3:$D$3000,'DATA INPUT'!$A$3:$A$3000,"&gt;="&amp;DATE(2021,6,1),'DATA INPUT'!$A$3:$A$3000,"&lt;"&amp;DATE(2021,6,31),'DATA INPUT'!$F$3:$F$3000,"&lt;&gt;*Exclude*",'DATA INPUT'!$G$3:$G$3000,"&lt;&gt;*School service*")=0,#N/A,(SUMIFS('DATA INPUT'!$D$3:$D$3000,'DATA INPUT'!$A$3:$A$3000,"&gt;="&amp;DATE(2021,6,1),'DATA INPUT'!$A$3:$A$3000,"&lt;"&amp;DATE(2021,6,31),'DATA INPUT'!$F$3:$F$3000,"&lt;&gt;*Exclude*",'DATA INPUT'!$G$3:$G$3000,"&lt;&gt;*School service*"))))</f>
        <v>#N/A</v>
      </c>
      <c r="AK56" s="136" t="e">
        <f>AI56-AJ56</f>
        <v>#N/A</v>
      </c>
      <c r="AM56" s="117" t="e">
        <f>IF($L$2="Yes",IFERROR((SUMIFS('DATA INPUT'!$E$3:$E$3000,'DATA INPUT'!$B$3:$B$3000,'Report Tables'!AM$1,'DATA INPUT'!$A$3:$A$3000,"&gt;="&amp;DATE(2021,6,1),'DATA INPUT'!$A$3:$A$3000,"&lt;"&amp;DATE(2021,6,31)))/COUNTIFS('DATA INPUT'!$B$3:$B$3000,'Report Tables'!AM$1,'DATA INPUT'!$A$3:$A$3000,"&gt;="&amp;DATE(2021,6,1),'DATA INPUT'!$A$3:$A$3000,"&lt;"&amp;DATE(2021,6,31)),#N/A),IFERROR((SUMIFS('DATA INPUT'!$E$3:$E$3000,'DATA INPUT'!$B$3:$B$3000,'Report Tables'!AM$1,'DATA INPUT'!$A$3:$A$3000,"&gt;="&amp;DATE(2021,6,1),'DATA INPUT'!$A$3:$A$3000,"&lt;"&amp;DATE(2021,6,31),'DATA INPUT'!$F$3:$F$3000,"&lt;&gt;*Exclude*"))/(COUNTIFS('DATA INPUT'!$B$3:$B$3000,'Report Tables'!AM$1,'DATA INPUT'!$A$3:$A$3000,"&gt;="&amp;DATE(2021,6,1),'DATA INPUT'!$A$3:$A$3000,"&lt;"&amp;DATE(2021,6,31),'DATA INPUT'!$F$3:$F$3000,"&lt;&gt;*Exclude*")),#N/A))</f>
        <v>#N/A</v>
      </c>
      <c r="AN56" s="117" t="e">
        <f>IF($L$2="Yes",IFERROR((SUMIFS('DATA INPUT'!$E$3:$E$3000,'DATA INPUT'!$B$3:$B$3000,'Report Tables'!AN$1,'DATA INPUT'!$A$3:$A$3000,"&gt;="&amp;DATE(2021,6,1),'DATA INPUT'!$A$3:$A$3000,"&lt;"&amp;DATE(2021,6,31)))/COUNTIFS('DATA INPUT'!$B$3:$B$3000,'Report Tables'!AN$1,'DATA INPUT'!$A$3:$A$3000,"&gt;="&amp;DATE(2021,6,1),'DATA INPUT'!$A$3:$A$3000,"&lt;"&amp;DATE(2021,6,31)),#N/A),IFERROR((SUMIFS('DATA INPUT'!$E$3:$E$3000,'DATA INPUT'!$B$3:$B$3000,'Report Tables'!AN$1,'DATA INPUT'!$A$3:$A$3000,"&gt;="&amp;DATE(2021,6,1),'DATA INPUT'!$A$3:$A$3000,"&lt;"&amp;DATE(2021,6,31),'DATA INPUT'!$F$3:$F$3000,"&lt;&gt;*Exclude*"))/(COUNTIFS('DATA INPUT'!$B$3:$B$3000,'Report Tables'!AN$1,'DATA INPUT'!$A$3:$A$3000,"&gt;="&amp;DATE(2021,6,1),'DATA INPUT'!$A$3:$A$3000,"&lt;"&amp;DATE(2021,6,31),'DATA INPUT'!$F$3:$F$3000,"&lt;&gt;*Exclude*")),#N/A))</f>
        <v>#N/A</v>
      </c>
      <c r="AO56" s="117" t="e">
        <f>IF($L$2="Yes",IFERROR((SUMIFS('DATA INPUT'!$E$3:$E$3000,'DATA INPUT'!$B$3:$B$3000,'Report Tables'!AO$1,'DATA INPUT'!$A$3:$A$3000,"&gt;="&amp;DATE(2021,6,1),'DATA INPUT'!$A$3:$A$3000,"&lt;"&amp;DATE(2021,6,31)))/COUNTIFS('DATA INPUT'!$B$3:$B$3000,'Report Tables'!AO$1,'DATA INPUT'!$A$3:$A$3000,"&gt;="&amp;DATE(2021,6,1),'DATA INPUT'!$A$3:$A$3000,"&lt;"&amp;DATE(2021,6,31)),#N/A),IFERROR((SUMIFS('DATA INPUT'!$E$3:$E$3000,'DATA INPUT'!$B$3:$B$3000,'Report Tables'!AO$1,'DATA INPUT'!$A$3:$A$3000,"&gt;="&amp;DATE(2021,6,1),'DATA INPUT'!$A$3:$A$3000,"&lt;"&amp;DATE(2021,6,31),'DATA INPUT'!$F$3:$F$3000,"&lt;&gt;*Exclude*"))/(COUNTIFS('DATA INPUT'!$B$3:$B$3000,'Report Tables'!AO$1,'DATA INPUT'!$A$3:$A$3000,"&gt;="&amp;DATE(2021,6,1),'DATA INPUT'!$A$3:$A$3000,"&lt;"&amp;DATE(2021,6,31),'DATA INPUT'!$F$3:$F$3000,"&lt;&gt;*Exclude*")),#N/A))</f>
        <v>#N/A</v>
      </c>
      <c r="AP56" s="117" t="e">
        <f>IF($L$2="Yes",IFERROR((SUMIFS('DATA INPUT'!$E$3:$E$3000,'DATA INPUT'!$B$3:$B$3000,'Report Tables'!AP$1,'DATA INPUT'!$A$3:$A$3000,"&gt;="&amp;DATE(2021,6,1),'DATA INPUT'!$A$3:$A$3000,"&lt;"&amp;DATE(2021,6,31)))/COUNTIFS('DATA INPUT'!$B$3:$B$3000,'Report Tables'!AP$1,'DATA INPUT'!$A$3:$A$3000,"&gt;="&amp;DATE(2021,6,1),'DATA INPUT'!$A$3:$A$3000,"&lt;"&amp;DATE(2021,6,31)),#N/A),IFERROR((SUMIFS('DATA INPUT'!$E$3:$E$3000,'DATA INPUT'!$B$3:$B$3000,'Report Tables'!AP$1,'DATA INPUT'!$A$3:$A$3000,"&gt;="&amp;DATE(2021,6,1),'DATA INPUT'!$A$3:$A$3000,"&lt;"&amp;DATE(2021,6,31),'DATA INPUT'!$F$3:$F$3000,"&lt;&gt;*Exclude*"))/(COUNTIFS('DATA INPUT'!$B$3:$B$3000,'Report Tables'!AP$1,'DATA INPUT'!$A$3:$A$3000,"&gt;="&amp;DATE(2021,6,1),'DATA INPUT'!$A$3:$A$3000,"&lt;"&amp;DATE(2021,6,31),'DATA INPUT'!$F$3:$F$3000,"&lt;&gt;*Exclude*")),#N/A))</f>
        <v>#N/A</v>
      </c>
      <c r="AQ56" s="117" t="e">
        <f>IF($L$2="Yes",IFERROR((SUMIFS('DATA INPUT'!$E$3:$E$3000,'DATA INPUT'!$B$3:$B$3000,'Report Tables'!AQ$1,'DATA INPUT'!$A$3:$A$3000,"&gt;="&amp;DATE(2021,6,1),'DATA INPUT'!$A$3:$A$3000,"&lt;"&amp;DATE(2021,6,31)))/COUNTIFS('DATA INPUT'!$B$3:$B$3000,'Report Tables'!AQ$1,'DATA INPUT'!$A$3:$A$3000,"&gt;="&amp;DATE(2021,6,1),'DATA INPUT'!$A$3:$A$3000,"&lt;"&amp;DATE(2021,6,31)),#N/A),IFERROR((SUMIFS('DATA INPUT'!$E$3:$E$3000,'DATA INPUT'!$B$3:$B$3000,'Report Tables'!AQ$1,'DATA INPUT'!$A$3:$A$3000,"&gt;="&amp;DATE(2021,6,1),'DATA INPUT'!$A$3:$A$3000,"&lt;"&amp;DATE(2021,6,31),'DATA INPUT'!$F$3:$F$3000,"&lt;&gt;*Exclude*"))/(COUNTIFS('DATA INPUT'!$B$3:$B$3000,'Report Tables'!AQ$1,'DATA INPUT'!$A$3:$A$3000,"&gt;="&amp;DATE(2021,6,1),'DATA INPUT'!$A$3:$A$3000,"&lt;"&amp;DATE(2021,6,31),'DATA INPUT'!$F$3:$F$3000,"&lt;&gt;*Exclude*")),#N/A))</f>
        <v>#N/A</v>
      </c>
      <c r="AR56" s="117" t="e">
        <f>IF($L$2="Yes",IFERROR((SUMIFS('DATA INPUT'!$E$3:$E$3000,'DATA INPUT'!$B$3:$B$3000,'Report Tables'!AR$1,'DATA INPUT'!$A$3:$A$3000,"&gt;="&amp;DATE(2021,6,1),'DATA INPUT'!$A$3:$A$3000,"&lt;"&amp;DATE(2021,6,31)))/COUNTIFS('DATA INPUT'!$B$3:$B$3000,'Report Tables'!AR$1,'DATA INPUT'!$A$3:$A$3000,"&gt;="&amp;DATE(2021,6,1),'DATA INPUT'!$A$3:$A$3000,"&lt;"&amp;DATE(2021,6,31)),#N/A),IFERROR((SUMIFS('DATA INPUT'!$E$3:$E$3000,'DATA INPUT'!$B$3:$B$3000,'Report Tables'!AR$1,'DATA INPUT'!$A$3:$A$3000,"&gt;="&amp;DATE(2021,6,1),'DATA INPUT'!$A$3:$A$3000,"&lt;"&amp;DATE(2021,6,31),'DATA INPUT'!$F$3:$F$3000,"&lt;&gt;*Exclude*"))/(COUNTIFS('DATA INPUT'!$B$3:$B$3000,'Report Tables'!AR$1,'DATA INPUT'!$A$3:$A$3000,"&gt;="&amp;DATE(2021,6,1),'DATA INPUT'!$A$3:$A$3000,"&lt;"&amp;DATE(2021,6,31),'DATA INPUT'!$F$3:$F$3000,"&lt;&gt;*Exclude*")),#N/A))</f>
        <v>#N/A</v>
      </c>
      <c r="AS56" s="117" t="e">
        <f>IF($L$2="Yes",IFERROR((SUMIFS('DATA INPUT'!$E$3:$E$3000,'DATA INPUT'!$B$3:$B$3000,'Report Tables'!AS$1,'DATA INPUT'!$A$3:$A$3000,"&gt;="&amp;DATE(2021,6,1),'DATA INPUT'!$A$3:$A$3000,"&lt;"&amp;DATE(2021,6,31)))/COUNTIFS('DATA INPUT'!$B$3:$B$3000,'Report Tables'!AS$1,'DATA INPUT'!$A$3:$A$3000,"&gt;="&amp;DATE(2021,6,1),'DATA INPUT'!$A$3:$A$3000,"&lt;"&amp;DATE(2021,6,31)),#N/A),IFERROR((SUMIFS('DATA INPUT'!$E$3:$E$3000,'DATA INPUT'!$B$3:$B$3000,'Report Tables'!AS$1,'DATA INPUT'!$A$3:$A$3000,"&gt;="&amp;DATE(2021,6,1),'DATA INPUT'!$A$3:$A$3000,"&lt;"&amp;DATE(2021,6,31),'DATA INPUT'!$F$3:$F$3000,"&lt;&gt;*Exclude*"))/(COUNTIFS('DATA INPUT'!$B$3:$B$3000,'Report Tables'!AS$1,'DATA INPUT'!$A$3:$A$3000,"&gt;="&amp;DATE(2021,6,1),'DATA INPUT'!$A$3:$A$3000,"&lt;"&amp;DATE(2021,6,31),'DATA INPUT'!$F$3:$F$3000,"&lt;&gt;*Exclude*")),#N/A))</f>
        <v>#N/A</v>
      </c>
      <c r="AT56" s="117" t="e">
        <f>IF($L$2="Yes",IFERROR((SUMIFS('DATA INPUT'!$E$3:$E$3000,'DATA INPUT'!$B$3:$B$3000,'Report Tables'!AT$1,'DATA INPUT'!$A$3:$A$3000,"&gt;="&amp;DATE(2021,6,1),'DATA INPUT'!$A$3:$A$3000,"&lt;"&amp;DATE(2021,6,31)))/COUNTIFS('DATA INPUT'!$B$3:$B$3000,'Report Tables'!AT$1,'DATA INPUT'!$A$3:$A$3000,"&gt;="&amp;DATE(2021,6,1),'DATA INPUT'!$A$3:$A$3000,"&lt;"&amp;DATE(2021,6,31)),#N/A),IFERROR((SUMIFS('DATA INPUT'!$E$3:$E$3000,'DATA INPUT'!$B$3:$B$3000,'Report Tables'!AT$1,'DATA INPUT'!$A$3:$A$3000,"&gt;="&amp;DATE(2021,6,1),'DATA INPUT'!$A$3:$A$3000,"&lt;"&amp;DATE(2021,6,31),'DATA INPUT'!$F$3:$F$3000,"&lt;&gt;*Exclude*"))/(COUNTIFS('DATA INPUT'!$B$3:$B$3000,'Report Tables'!AT$1,'DATA INPUT'!$A$3:$A$3000,"&gt;="&amp;DATE(2021,6,1),'DATA INPUT'!$A$3:$A$3000,"&lt;"&amp;DATE(2021,6,31),'DATA INPUT'!$F$3:$F$3000,"&lt;&gt;*Exclude*")),#N/A))</f>
        <v>#N/A</v>
      </c>
      <c r="AU56" s="117" t="e">
        <f t="shared" si="1"/>
        <v>#N/A</v>
      </c>
      <c r="AV56" s="117" t="e">
        <f>IF($L$2="Yes",IFERROR((SUMIFS('DATA INPUT'!$D$3:$D$3000,'DATA INPUT'!$A$3:$A$3000,"&gt;="&amp;DATE(2021,6,1),'DATA INPUT'!$A$3:$A$3000,"&lt;"&amp;DATE(2021,6,31),'DATA INPUT'!$G$3:$G$3000,"&lt;&gt;*School service*"))/COUNTIFS('DATA INPUT'!$A$3:$A$3000,"&gt;="&amp;DATE(2021,6,1),'DATA INPUT'!$A$3:$A$3000,"&lt;"&amp;DATE(2021,6,31),'DATA INPUT'!$G$3:$G$3000,"&lt;&gt;*School service*",'DATA INPUT'!$D$3:$D$3000,"&lt;&gt;"&amp;""),#N/A),IFERROR((SUMIFS('DATA INPUT'!$D$3:$D$3000,'DATA INPUT'!$A$3:$A$3000,"&gt;="&amp;DATE(2021,6,1),'DATA INPUT'!$A$3:$A$3000,"&lt;"&amp;DATE(2021,6,31),'DATA INPUT'!$F$3:$F$3000,"&lt;&gt;*Exclude*",'DATA INPUT'!$G$3:$G$3000,"&lt;&gt;*School service*"))/(COUNTIFS('DATA INPUT'!$A$3:$A$3000,"&gt;="&amp;DATE(2021,6,1),'DATA INPUT'!$A$3:$A$3000,"&lt;"&amp;DATE(2021,6,31),'DATA INPUT'!$F$3:$F$3000,"&lt;&gt;*Exclude*",'DATA INPUT'!$G$3:$G$3000,"&lt;&gt;*School service*",'DATA INPUT'!$D$3:$D$3000,"&lt;&gt;"&amp;"")),#N/A))</f>
        <v>#N/A</v>
      </c>
      <c r="AW56" s="117" t="e">
        <f t="shared" si="2"/>
        <v>#N/A</v>
      </c>
      <c r="AX56" s="117" t="e">
        <f>IF($L$2="Yes",IFERROR((SUMIFS('DATA INPUT'!$E$3:$E$3000,'DATA INPUT'!$B$3:$B$3000,'Report Tables'!AX$1,'DATA INPUT'!$A$3:$A$3000,"&gt;="&amp;DATE(2021,6,1),'DATA INPUT'!$A$3:$A$3000,"&lt;"&amp;DATE(2021,6,31)))/COUNTIFS('DATA INPUT'!$B$3:$B$3000,'Report Tables'!AX$1,'DATA INPUT'!$A$3:$A$3000,"&gt;="&amp;DATE(2021,6,1),'DATA INPUT'!$A$3:$A$3000,"&lt;"&amp;DATE(2021,6,31)),#N/A),IFERROR((SUMIFS('DATA INPUT'!$E$3:$E$3000,'DATA INPUT'!$B$3:$B$3000,'Report Tables'!AX$1,'DATA INPUT'!$A$3:$A$3000,"&gt;="&amp;DATE(2021,6,1),'DATA INPUT'!$A$3:$A$3000,"&lt;"&amp;DATE(2021,6,31),'DATA INPUT'!$F$3:$F$3000,"&lt;&gt;*Exclude*"))/(COUNTIFS('DATA INPUT'!$B$3:$B$3000,'Report Tables'!AX$1,'DATA INPUT'!$A$3:$A$3000,"&gt;="&amp;DATE(2021,6,1),'DATA INPUT'!$A$3:$A$3000,"&lt;"&amp;DATE(2021,6,31),'DATA INPUT'!$F$3:$F$3000,"&lt;&gt;*Exclude*")),#N/A))</f>
        <v>#N/A</v>
      </c>
      <c r="AY56" s="117" t="e">
        <f>IF($L$2="Yes",IFERROR((SUMIFS('DATA INPUT'!$D$3:$D$3000,'DATA INPUT'!$B$3:$B$3000,'Report Tables'!AX$1,'DATA INPUT'!$A$3:$A$3000,"&gt;="&amp;DATE(2021,6,1),'DATA INPUT'!$A$3:$A$3000,"&lt;"&amp;DATE(2021,6,31)))/COUNTIFS('DATA INPUT'!$B$3:$B$3000,'Report Tables'!AX$1,'DATA INPUT'!$A$3:$A$3000,"&gt;="&amp;DATE(2021,6,1),'DATA INPUT'!$A$3:$A$3000,"&lt;"&amp;DATE(2021,6,31)),#N/A),IFERROR((SUMIFS('DATA INPUT'!$D$3:$D$3000,'DATA INPUT'!$B$3:$B$3000,'Report Tables'!AX$1,'DATA INPUT'!$A$3:$A$3000,"&gt;="&amp;DATE(2021,6,1),'DATA INPUT'!$A$3:$A$3000,"&lt;"&amp;DATE(2021,6,31),'DATA INPUT'!$F$3:$F$3000,"&lt;&gt;*Exclude*"))/(COUNTIFS('DATA INPUT'!$B$3:$B$3000,'Report Tables'!AX$1,'DATA INPUT'!$A$3:$A$3000,"&gt;="&amp;DATE(2021,6,1),'DATA INPUT'!$A$3:$A$3000,"&lt;"&amp;DATE(2021,6,31),'DATA INPUT'!$F$3:$F$3000,"&lt;&gt;*Exclude*")),#N/A))</f>
        <v>#N/A</v>
      </c>
      <c r="AZ56" s="117" t="e">
        <f>IF($L$2="Yes",IFERROR((SUMIFS('DATA INPUT'!$C$3:$C$3000,'DATA INPUT'!$B$3:$B$3000,'Report Tables'!AX$1,'DATA INPUT'!$A$3:$A$3000,"&gt;="&amp;DATE(2021,6,1),'DATA INPUT'!$A$3:$A$3000,"&lt;"&amp;DATE(2021,6,31)))/COUNTIFS('DATA INPUT'!$B$3:$B$3000,'Report Tables'!AX$1,'DATA INPUT'!$A$3:$A$3000,"&gt;="&amp;DATE(2021,6,1),'DATA INPUT'!$A$3:$A$3000,"&lt;"&amp;DATE(2021,6,31)),#N/A),IFERROR((SUMIFS('DATA INPUT'!$C$3:$C$3000,'DATA INPUT'!$B$3:$B$3000,'Report Tables'!AX$1,'DATA INPUT'!$A$3:$A$3000,"&gt;="&amp;DATE(2021,6,1),'DATA INPUT'!$A$3:$A$3000,"&lt;"&amp;DATE(2021,6,31),'DATA INPUT'!$F$3:$F$3000,"&lt;&gt;*Exclude*"))/(COUNTIFS('DATA INPUT'!$B$3:$B$3000,'Report Tables'!AX$1,'DATA INPUT'!$A$3:$A$3000,"&gt;="&amp;DATE(2021,6,1),'DATA INPUT'!$A$3:$A$3000,"&lt;"&amp;DATE(2021,6,31),'DATA INPUT'!$F$3:$F$3000,"&lt;&gt;*Exclude*")),#N/A))</f>
        <v>#N/A</v>
      </c>
    </row>
    <row r="57" spans="1:52" x14ac:dyDescent="0.3">
      <c r="A57" s="95" t="e">
        <f>VLOOKUP(B57,Information!$C$8:$F$15,4,FALSE)</f>
        <v>#N/A</v>
      </c>
      <c r="B57" s="53">
        <f>$B$9</f>
        <v>0</v>
      </c>
      <c r="C57" s="58" t="e">
        <f>IF($L$2="Yes",(SUMIFS('DATA INPUT'!$D$3:$D$3000,'DATA INPUT'!$A$3:$A$3000,"&gt;="&amp;DATE(2017,1,1),'DATA INPUT'!$A$3:$A$3000,"&lt;="&amp;DATE(2017,12,31),'DATA INPUT'!$B$3:$B$3000,$B57))/(COUNTIFS('DATA INPUT'!$A$3:$A$3000,"&gt;="&amp;DATE(2017,1,1),'DATA INPUT'!$A$3:$A$3000,"&lt;="&amp;DATE(2017,12,31),'DATA INPUT'!$B$3:$B$3000,$B57)),(SUMIFS('DATA INPUT'!$D$3:$D$3000,'DATA INPUT'!$A$3:$A$3000,"&gt;="&amp;DATE(2017,1,1),'DATA INPUT'!$A$3:$A$3000,"&lt;="&amp;DATE(2017,12,31),'DATA INPUT'!$B$3:$B$3000,$B57,'DATA INPUT'!$F$3:$F$3000,"&lt;&gt;*Exclude*"))/(COUNTIFS('DATA INPUT'!$A$3:$A$3000,"&gt;="&amp;DATE(2017,1,1),'DATA INPUT'!$A$3:$A$3000,"&lt;="&amp;DATE(2017,12,31),'DATA INPUT'!$B$3:$B$3000,$B57,'DATA INPUT'!$F$3:$F$3000,"&lt;&gt;*Exclude*")))</f>
        <v>#DIV/0!</v>
      </c>
      <c r="D57" s="58" t="e">
        <f>IF($L$2="Yes",(SUMIFS('DATA INPUT'!$D$3:$D$3000,'DATA INPUT'!$A$3:$A$3000,"&gt;="&amp;DATE(2018,1,1),'DATA INPUT'!$A$3:$A$3000,"&lt;="&amp;DATE(2018,12,31),'DATA INPUT'!$B$3:$B$3000,$B57))/(COUNTIFS('DATA INPUT'!$A$3:$A$3000,"&gt;="&amp;DATE(2018,1,1),'DATA INPUT'!$A$3:$A$3000,"&lt;="&amp;DATE(2018,12,31),'DATA INPUT'!$B$3:$B$3000,$B57)),(SUMIFS('DATA INPUT'!$D$3:$D$3000,'DATA INPUT'!$A$3:$A$3000,"&gt;="&amp;DATE(2018,1,1),'DATA INPUT'!$A$3:$A$3000,"&lt;="&amp;DATE(2018,12,31),'DATA INPUT'!$B$3:$B$3000,$B57,'DATA INPUT'!$F$3:$F$3000,"&lt;&gt;*Exclude*"))/(COUNTIFS('DATA INPUT'!$A$3:$A$3000,"&gt;="&amp;DATE(2018,1,1),'DATA INPUT'!$A$3:$A$3000,"&lt;="&amp;DATE(2018,12,31),'DATA INPUT'!$B$3:$B$3000,$B57,'DATA INPUT'!$F$3:$F$3000,"&lt;&gt;*Exclude*")))</f>
        <v>#DIV/0!</v>
      </c>
      <c r="E57" s="58" t="e">
        <f>IF($L$2="Yes",(SUMIFS('DATA INPUT'!$D$3:$D$3000,'DATA INPUT'!$A$3:$A$3000,"&gt;="&amp;DATE(2019,1,1),'DATA INPUT'!$A$3:$A$3000,"&lt;="&amp;DATE(2019,12,31),'DATA INPUT'!$B$3:$B$3000,$B57))/(COUNTIFS('DATA INPUT'!$A$3:$A$3000,"&gt;="&amp;DATE(2019,1,1),'DATA INPUT'!$A$3:$A$3000,"&lt;="&amp;DATE(2019,12,31),'DATA INPUT'!$B$3:$B$3000,$B57)),(SUMIFS('DATA INPUT'!$D$3:$D$3000,'DATA INPUT'!$A$3:$A$3000,"&gt;="&amp;DATE(2019,1,1),'DATA INPUT'!$A$3:$A$3000,"&lt;="&amp;DATE(2019,12,31),'DATA INPUT'!$B$3:$B$3000,$B57,'DATA INPUT'!$F$3:$F$3000,"&lt;&gt;*Exclude*"))/(COUNTIFS('DATA INPUT'!$A$3:$A$3000,"&gt;="&amp;DATE(2019,1,1),'DATA INPUT'!$A$3:$A$3000,"&lt;="&amp;DATE(2019,12,31),'DATA INPUT'!$B$3:$B$3000,$B57,'DATA INPUT'!$F$3:$F$3000,"&lt;&gt;*Exclude*")))</f>
        <v>#DIV/0!</v>
      </c>
      <c r="F57" s="58" t="e">
        <f>IF($L$2="Yes",(SUMIFS('DATA INPUT'!$D$3:$D$3000,'DATA INPUT'!$A$3:$A$3000,"&gt;="&amp;DATE(2020,1,1),'DATA INPUT'!$A$3:$A$3000,"&lt;="&amp;DATE(2020,12,31),'DATA INPUT'!$B$3:$B$3000,$B57))/(COUNTIFS('DATA INPUT'!$A$3:$A$3000,"&gt;="&amp;DATE(2020,1,1),'DATA INPUT'!$A$3:$A$3000,"&lt;="&amp;DATE(2020,12,31),'DATA INPUT'!$B$3:$B$3000,$B57)),(SUMIFS('DATA INPUT'!$D$3:$D$3000,'DATA INPUT'!$A$3:$A$3000,"&gt;="&amp;DATE(2020,1,1),'DATA INPUT'!$A$3:$A$3000,"&lt;="&amp;DATE(2020,12,31),'DATA INPUT'!$B$3:$B$3000,$B57,'DATA INPUT'!$F$3:$F$3000,"&lt;&gt;*Exclude*"))/(COUNTIFS('DATA INPUT'!$A$3:$A$3000,"&gt;="&amp;DATE(2020,1,1),'DATA INPUT'!$A$3:$A$3000,"&lt;="&amp;DATE(2020,12,31),'DATA INPUT'!$B$3:$B$3000,$B57,'DATA INPUT'!$F$3:$F$3000,"&lt;&gt;*Exclude*")))</f>
        <v>#DIV/0!</v>
      </c>
      <c r="G57" s="58" t="e">
        <f>IF($L$2="Yes",(SUMIFS('DATA INPUT'!$D$3:$D$3000,'DATA INPUT'!$A$3:$A$3000,"&gt;="&amp;DATE(2021,1,1),'DATA INPUT'!$A$3:$A$3000,"&lt;="&amp;DATE(2021,12,31),'DATA INPUT'!$B$3:$B$3000,$B57))/(COUNTIFS('DATA INPUT'!$A$3:$A$3000,"&gt;="&amp;DATE(2021,1,1),'DATA INPUT'!$A$3:$A$3000,"&lt;="&amp;DATE(2021,12,31),'DATA INPUT'!$B$3:$B$3000,$B57)),(SUMIFS('DATA INPUT'!$D$3:$D$3000,'DATA INPUT'!$A$3:$A$3000,"&gt;="&amp;DATE(2021,1,1),'DATA INPUT'!$A$3:$A$3000,"&lt;="&amp;DATE(2021,12,31),'DATA INPUT'!$B$3:$B$3000,$B57,'DATA INPUT'!$F$3:$F$3000,"&lt;&gt;*Exclude*"))/(COUNTIFS('DATA INPUT'!$A$3:$A$3000,"&gt;="&amp;DATE(2021,1,1),'DATA INPUT'!$A$3:$A$3000,"&lt;="&amp;DATE(2021,12,31),'DATA INPUT'!$B$3:$B$3000,$B57,'DATA INPUT'!$F$3:$F$3000,"&lt;&gt;*Exclude*")))</f>
        <v>#DIV/0!</v>
      </c>
      <c r="H57" s="58" t="e">
        <f>IF($L$2="Yes",(SUMIFS('DATA INPUT'!$D$3:$D$3000,'DATA INPUT'!$A$3:$A$3000,"&gt;="&amp;DATE(2022,1,1),'DATA INPUT'!$A$3:$A$3000,"&lt;="&amp;DATE(2022,12,31),'DATA INPUT'!$B$3:$B$3000,$B57))/(COUNTIFS('DATA INPUT'!$A$3:$A$3000,"&gt;="&amp;DATE(2022,1,1),'DATA INPUT'!$A$3:$A$3000,"&lt;="&amp;DATE(2022,12,31),'DATA INPUT'!$B$3:$B$3000,$B57)),(SUMIFS('DATA INPUT'!$D$3:$D$3000,'DATA INPUT'!$A$3:$A$3000,"&gt;="&amp;DATE(2022,1,1),'DATA INPUT'!$A$3:$A$3000,"&lt;="&amp;DATE(2022,12,31),'DATA INPUT'!$B$3:$B$3000,$B57,'DATA INPUT'!$F$3:$F$3000,"&lt;&gt;*Exclude*"))/(COUNTIFS('DATA INPUT'!$A$3:$A$3000,"&gt;="&amp;DATE(2022,1,1),'DATA INPUT'!$A$3:$A$3000,"&lt;="&amp;DATE(2022,12,31),'DATA INPUT'!$B$3:$B$3000,$B57,'DATA INPUT'!$F$3:$F$3000,"&lt;&gt;*Exclude*")))</f>
        <v>#DIV/0!</v>
      </c>
      <c r="I57" s="58" t="e">
        <f>IF($L$2="Yes",(SUMIFS('DATA INPUT'!$D$3:$D$3000,'DATA INPUT'!$A$3:$A$3000,"&gt;="&amp;DATE(2023,1,1),'DATA INPUT'!$A$3:$A$3000,"&lt;="&amp;DATE(2023,12,31),'DATA INPUT'!$B$3:$B$3000,$B57))/(COUNTIFS('DATA INPUT'!$A$3:$A$3000,"&gt;="&amp;DATE(2023,1,1),'DATA INPUT'!$A$3:$A$3000,"&lt;="&amp;DATE(2023,12,31),'DATA INPUT'!$B$3:$B$3000,$B57)),(SUMIFS('DATA INPUT'!$D$3:$D$3000,'DATA INPUT'!$A$3:$A$3000,"&gt;="&amp;DATE(2023,1,1),'DATA INPUT'!$A$3:$A$3000,"&lt;="&amp;DATE(2023,12,31),'DATA INPUT'!$B$3:$B$3000,$B57,'DATA INPUT'!$F$3:$F$3000,"&lt;&gt;*Exclude*"))/(COUNTIFS('DATA INPUT'!$A$3:$A$3000,"&gt;="&amp;DATE(2023,1,1),'DATA INPUT'!$A$3:$A$3000,"&lt;="&amp;DATE(2023,12,31),'DATA INPUT'!$B$3:$B$3000,$B57,'DATA INPUT'!$F$3:$F$3000,"&lt;&gt;*Exclude*")))</f>
        <v>#DIV/0!</v>
      </c>
      <c r="J57" s="58" t="e">
        <f>IF($L$2="Yes",(SUMIFS('DATA INPUT'!$D$3:$D$3000,'DATA INPUT'!$A$3:$A$3000,"&gt;="&amp;DATE(2024,1,1),'DATA INPUT'!$A$3:$A$3000,"&lt;="&amp;DATE(2024,12,31),'DATA INPUT'!$B$3:$B$3000,$B57))/(COUNTIFS('DATA INPUT'!$A$3:$A$3000,"&gt;="&amp;DATE(2024,1,1),'DATA INPUT'!$A$3:$A$3000,"&lt;="&amp;DATE(2024,12,31),'DATA INPUT'!$B$3:$B$3000,$B57)),(SUMIFS('DATA INPUT'!$D$3:$D$3000,'DATA INPUT'!$A$3:$A$3000,"&gt;="&amp;DATE(2024,1,1),'DATA INPUT'!$A$3:$A$3000,"&lt;="&amp;DATE(2024,12,31),'DATA INPUT'!$B$3:$B$3000,$B57,'DATA INPUT'!$F$3:$F$3000,"&lt;&gt;*Exclude*"))/(COUNTIFS('DATA INPUT'!$A$3:$A$3000,"&gt;="&amp;DATE(2024,1,1),'DATA INPUT'!$A$3:$A$3000,"&lt;="&amp;DATE(2024,12,31),'DATA INPUT'!$B$3:$B$3000,$B57,'DATA INPUT'!$F$3:$F$3000,"&lt;&gt;*Exclude*")))</f>
        <v>#DIV/0!</v>
      </c>
      <c r="K57" s="58" t="e">
        <f>IF($L$2="Yes",(SUMIFS('DATA INPUT'!$D$3:$D$3000,'DATA INPUT'!$A$3:$A$3000,"&gt;="&amp;DATE(2025,1,1),'DATA INPUT'!$A$3:$A$3000,"&lt;="&amp;DATE(2025,12,31),'DATA INPUT'!$B$3:$B$3000,$B57))/(COUNTIFS('DATA INPUT'!$A$3:$A$3000,"&gt;="&amp;DATE(2025,1,1),'DATA INPUT'!$A$3:$A$3000,"&lt;="&amp;DATE(2025,12,31),'DATA INPUT'!$B$3:$B$3000,$B57)),(SUMIFS('DATA INPUT'!$D$3:$D$3000,'DATA INPUT'!$A$3:$A$3000,"&gt;="&amp;DATE(2025,1,1),'DATA INPUT'!$A$3:$A$3000,"&lt;="&amp;DATE(2025,12,31),'DATA INPUT'!$B$3:$B$3000,$B57,'DATA INPUT'!$F$3:$F$3000,"&lt;&gt;*Exclude*"))/(COUNTIFS('DATA INPUT'!$A$3:$A$3000,"&gt;="&amp;DATE(2025,1,1),'DATA INPUT'!$A$3:$A$3000,"&lt;="&amp;DATE(2025,12,31),'DATA INPUT'!$B$3:$B$3000,$B57,'DATA INPUT'!$F$3:$F$3000,"&lt;&gt;*Exclude*")))</f>
        <v>#DIV/0!</v>
      </c>
      <c r="L57" s="72" t="str">
        <f t="shared" si="20"/>
        <v/>
      </c>
      <c r="Y57" s="149"/>
      <c r="Z57" s="149" t="s">
        <v>18</v>
      </c>
      <c r="AA57" s="136" t="e">
        <f>IF($L$2="Yes",IF(SUMIFS('DATA INPUT'!$E$3:$E$3000,'DATA INPUT'!$B$3:$B$3000,'Report Tables'!AA$1,'DATA INPUT'!$A$3:$A$3000,"&gt;="&amp;DATE(2021,7,1),'DATA INPUT'!$A$3:$A$3000,"&lt;"&amp;DATE(2021,7,31))=0,#N/A,(SUMIFS('DATA INPUT'!$E$3:$E$3000,'DATA INPUT'!$B$3:$B$3000,'Report Tables'!AA$1,'DATA INPUT'!$A$3:$A$3000,"&gt;="&amp;DATE(2021,7,1),'DATA INPUT'!$A$3:$A$3000,"&lt;"&amp;DATE(2021,7,31)))),IF(SUMIFS('DATA INPUT'!$E$3:$E$3000,'DATA INPUT'!$B$3:$B$3000,'Report Tables'!AA$1,'DATA INPUT'!$A$3:$A$3000,"&gt;="&amp;DATE(2021,7,1),'DATA INPUT'!$A$3:$A$3000,"&lt;"&amp;DATE(2021,7,31),'DATA INPUT'!$F$3:$F$3000,"&lt;&gt;*Exclude*")=0,#N/A,(SUMIFS('DATA INPUT'!$E$3:$E$3000,'DATA INPUT'!$B$3:$B$3000,'Report Tables'!AA$1,'DATA INPUT'!$A$3:$A$3000,"&gt;="&amp;DATE(2021,7,1),'DATA INPUT'!$A$3:$A$3000,"&lt;"&amp;DATE(2021,7,31),'DATA INPUT'!$F$3:$F$3000,"&lt;&gt;*Exclude*"))))</f>
        <v>#N/A</v>
      </c>
      <c r="AB57" s="136" t="e">
        <f>IF($L$2="Yes",IF(SUMIFS('DATA INPUT'!$E$3:$E$3000,'DATA INPUT'!$B$3:$B$3000,'Report Tables'!AB$1,'DATA INPUT'!$A$3:$A$3000,"&gt;="&amp;DATE(2021,7,1),'DATA INPUT'!$A$3:$A$3000,"&lt;"&amp;DATE(2021,7,31))=0,#N/A,(SUMIFS('DATA INPUT'!$E$3:$E$3000,'DATA INPUT'!$B$3:$B$3000,'Report Tables'!AB$1,'DATA INPUT'!$A$3:$A$3000,"&gt;="&amp;DATE(2021,7,1),'DATA INPUT'!$A$3:$A$3000,"&lt;"&amp;DATE(2021,7,31)))),IF(SUMIFS('DATA INPUT'!$E$3:$E$3000,'DATA INPUT'!$B$3:$B$3000,'Report Tables'!AB$1,'DATA INPUT'!$A$3:$A$3000,"&gt;="&amp;DATE(2021,7,1),'DATA INPUT'!$A$3:$A$3000,"&lt;"&amp;DATE(2021,7,31),'DATA INPUT'!$F$3:$F$3000,"&lt;&gt;*Exclude*")=0,#N/A,(SUMIFS('DATA INPUT'!$E$3:$E$3000,'DATA INPUT'!$B$3:$B$3000,'Report Tables'!AB$1,'DATA INPUT'!$A$3:$A$3000,"&gt;="&amp;DATE(2021,7,1),'DATA INPUT'!$A$3:$A$3000,"&lt;"&amp;DATE(2021,7,31),'DATA INPUT'!$F$3:$F$3000,"&lt;&gt;*Exclude*"))))</f>
        <v>#N/A</v>
      </c>
      <c r="AC57" s="136" t="e">
        <f>IF($L$2="Yes",IF(SUMIFS('DATA INPUT'!$E$3:$E$3000,'DATA INPUT'!$B$3:$B$3000,'Report Tables'!AC$1,'DATA INPUT'!$A$3:$A$3000,"&gt;="&amp;DATE(2021,7,1),'DATA INPUT'!$A$3:$A$3000,"&lt;"&amp;DATE(2021,7,31))=0,#N/A,(SUMIFS('DATA INPUT'!$E$3:$E$3000,'DATA INPUT'!$B$3:$B$3000,'Report Tables'!AC$1,'DATA INPUT'!$A$3:$A$3000,"&gt;="&amp;DATE(2021,7,1),'DATA INPUT'!$A$3:$A$3000,"&lt;"&amp;DATE(2021,7,31)))),IF(SUMIFS('DATA INPUT'!$E$3:$E$3000,'DATA INPUT'!$B$3:$B$3000,'Report Tables'!AC$1,'DATA INPUT'!$A$3:$A$3000,"&gt;="&amp;DATE(2021,7,1),'DATA INPUT'!$A$3:$A$3000,"&lt;"&amp;DATE(2021,7,31),'DATA INPUT'!$F$3:$F$3000,"&lt;&gt;*Exclude*")=0,#N/A,(SUMIFS('DATA INPUT'!$E$3:$E$3000,'DATA INPUT'!$B$3:$B$3000,'Report Tables'!AC$1,'DATA INPUT'!$A$3:$A$3000,"&gt;="&amp;DATE(2021,7,1),'DATA INPUT'!$A$3:$A$3000,"&lt;"&amp;DATE(2021,7,31),'DATA INPUT'!$F$3:$F$3000,"&lt;&gt;*Exclude*"))))</f>
        <v>#N/A</v>
      </c>
      <c r="AD57" s="136" t="e">
        <f>IF($L$2="Yes",IF(SUMIFS('DATA INPUT'!$E$3:$E$3000,'DATA INPUT'!$B$3:$B$3000,'Report Tables'!AD$1,'DATA INPUT'!$A$3:$A$3000,"&gt;="&amp;DATE(2021,7,1),'DATA INPUT'!$A$3:$A$3000,"&lt;"&amp;DATE(2021,7,31))=0,#N/A,(SUMIFS('DATA INPUT'!$E$3:$E$3000,'DATA INPUT'!$B$3:$B$3000,'Report Tables'!AD$1,'DATA INPUT'!$A$3:$A$3000,"&gt;="&amp;DATE(2021,7,1),'DATA INPUT'!$A$3:$A$3000,"&lt;"&amp;DATE(2021,7,31)))),IF(SUMIFS('DATA INPUT'!$E$3:$E$3000,'DATA INPUT'!$B$3:$B$3000,'Report Tables'!AD$1,'DATA INPUT'!$A$3:$A$3000,"&gt;="&amp;DATE(2021,7,1),'DATA INPUT'!$A$3:$A$3000,"&lt;"&amp;DATE(2021,7,31),'DATA INPUT'!$F$3:$F$3000,"&lt;&gt;*Exclude*")=0,#N/A,(SUMIFS('DATA INPUT'!$E$3:$E$3000,'DATA INPUT'!$B$3:$B$3000,'Report Tables'!AD$1,'DATA INPUT'!$A$3:$A$3000,"&gt;="&amp;DATE(2021,7,1),'DATA INPUT'!$A$3:$A$3000,"&lt;"&amp;DATE(2021,7,31),'DATA INPUT'!$F$3:$F$3000,"&lt;&gt;*Exclude*"))))</f>
        <v>#N/A</v>
      </c>
      <c r="AE57" s="136" t="e">
        <f>IF($L$2="Yes",IF(SUMIFS('DATA INPUT'!$E$3:$E$3000,'DATA INPUT'!$B$3:$B$3000,'Report Tables'!AE$1,'DATA INPUT'!$A$3:$A$3000,"&gt;="&amp;DATE(2021,7,1),'DATA INPUT'!$A$3:$A$3000,"&lt;"&amp;DATE(2021,7,31))=0,#N/A,(SUMIFS('DATA INPUT'!$E$3:$E$3000,'DATA INPUT'!$B$3:$B$3000,'Report Tables'!AE$1,'DATA INPUT'!$A$3:$A$3000,"&gt;="&amp;DATE(2021,7,1),'DATA INPUT'!$A$3:$A$3000,"&lt;"&amp;DATE(2021,7,31)))),IF(SUMIFS('DATA INPUT'!$E$3:$E$3000,'DATA INPUT'!$B$3:$B$3000,'Report Tables'!AE$1,'DATA INPUT'!$A$3:$A$3000,"&gt;="&amp;DATE(2021,7,1),'DATA INPUT'!$A$3:$A$3000,"&lt;"&amp;DATE(2021,7,31),'DATA INPUT'!$F$3:$F$3000,"&lt;&gt;*Exclude*")=0,#N/A,(SUMIFS('DATA INPUT'!$E$3:$E$3000,'DATA INPUT'!$B$3:$B$3000,'Report Tables'!AE$1,'DATA INPUT'!$A$3:$A$3000,"&gt;="&amp;DATE(2021,7,1),'DATA INPUT'!$A$3:$A$3000,"&lt;"&amp;DATE(2021,7,31),'DATA INPUT'!$F$3:$F$3000,"&lt;&gt;*Exclude*"))))</f>
        <v>#N/A</v>
      </c>
      <c r="AF57" s="136" t="e">
        <f>IF($L$2="Yes",IF(SUMIFS('DATA INPUT'!$E$3:$E$3000,'DATA INPUT'!$B$3:$B$3000,'Report Tables'!AF$1,'DATA INPUT'!$A$3:$A$3000,"&gt;="&amp;DATE(2021,7,1),'DATA INPUT'!$A$3:$A$3000,"&lt;"&amp;DATE(2021,7,31))=0,#N/A,(SUMIFS('DATA INPUT'!$E$3:$E$3000,'DATA INPUT'!$B$3:$B$3000,'Report Tables'!AF$1,'DATA INPUT'!$A$3:$A$3000,"&gt;="&amp;DATE(2021,7,1),'DATA INPUT'!$A$3:$A$3000,"&lt;"&amp;DATE(2021,7,31)))),IF(SUMIFS('DATA INPUT'!$E$3:$E$3000,'DATA INPUT'!$B$3:$B$3000,'Report Tables'!AF$1,'DATA INPUT'!$A$3:$A$3000,"&gt;="&amp;DATE(2021,7,1),'DATA INPUT'!$A$3:$A$3000,"&lt;"&amp;DATE(2021,7,31),'DATA INPUT'!$F$3:$F$3000,"&lt;&gt;*Exclude*")=0,#N/A,(SUMIFS('DATA INPUT'!$E$3:$E$3000,'DATA INPUT'!$B$3:$B$3000,'Report Tables'!AF$1,'DATA INPUT'!$A$3:$A$3000,"&gt;="&amp;DATE(2021,7,1),'DATA INPUT'!$A$3:$A$3000,"&lt;"&amp;DATE(2021,7,31),'DATA INPUT'!$F$3:$F$3000,"&lt;&gt;*Exclude*"))))</f>
        <v>#N/A</v>
      </c>
      <c r="AG57" s="136" t="e">
        <f>IF($L$2="Yes",IF(SUMIFS('DATA INPUT'!$E$3:$E$3000,'DATA INPUT'!$B$3:$B$3000,'Report Tables'!AG$1,'DATA INPUT'!$A$3:$A$3000,"&gt;="&amp;DATE(2021,7,1),'DATA INPUT'!$A$3:$A$3000,"&lt;"&amp;DATE(2021,7,31))=0,#N/A,(SUMIFS('DATA INPUT'!$E$3:$E$3000,'DATA INPUT'!$B$3:$B$3000,'Report Tables'!AG$1,'DATA INPUT'!$A$3:$A$3000,"&gt;="&amp;DATE(2021,7,1),'DATA INPUT'!$A$3:$A$3000,"&lt;"&amp;DATE(2021,7,31)))),IF(SUMIFS('DATA INPUT'!$E$3:$E$3000,'DATA INPUT'!$B$3:$B$3000,'Report Tables'!AG$1,'DATA INPUT'!$A$3:$A$3000,"&gt;="&amp;DATE(2021,7,1),'DATA INPUT'!$A$3:$A$3000,"&lt;"&amp;DATE(2021,7,31),'DATA INPUT'!$F$3:$F$3000,"&lt;&gt;*Exclude*")=0,#N/A,(SUMIFS('DATA INPUT'!$E$3:$E$3000,'DATA INPUT'!$B$3:$B$3000,'Report Tables'!AG$1,'DATA INPUT'!$A$3:$A$3000,"&gt;="&amp;DATE(2021,7,1),'DATA INPUT'!$A$3:$A$3000,"&lt;"&amp;DATE(2021,7,31),'DATA INPUT'!$F$3:$F$3000,"&lt;&gt;*Exclude*"))))</f>
        <v>#N/A</v>
      </c>
      <c r="AH57" s="136" t="e">
        <f>IF($L$2="Yes",IF(SUMIFS('DATA INPUT'!$E$3:$E$3000,'DATA INPUT'!$B$3:$B$3000,'Report Tables'!AH$1,'DATA INPUT'!$A$3:$A$3000,"&gt;="&amp;DATE(2021,7,1),'DATA INPUT'!$A$3:$A$3000,"&lt;"&amp;DATE(2021,7,31))=0,#N/A,(SUMIFS('DATA INPUT'!$E$3:$E$3000,'DATA INPUT'!$B$3:$B$3000,'Report Tables'!AH$1,'DATA INPUT'!$A$3:$A$3000,"&gt;="&amp;DATE(2021,7,1),'DATA INPUT'!$A$3:$A$3000,"&lt;"&amp;DATE(2021,7,31)))),IF(SUMIFS('DATA INPUT'!$E$3:$E$3000,'DATA INPUT'!$B$3:$B$3000,'Report Tables'!AH$1,'DATA INPUT'!$A$3:$A$3000,"&gt;="&amp;DATE(2021,7,1),'DATA INPUT'!$A$3:$A$3000,"&lt;"&amp;DATE(2021,7,31),'DATA INPUT'!$F$3:$F$3000,"&lt;&gt;*Exclude*")=0,#N/A,(SUMIFS('DATA INPUT'!$E$3:$E$3000,'DATA INPUT'!$B$3:$B$3000,'Report Tables'!AH$1,'DATA INPUT'!$A$3:$A$3000,"&gt;="&amp;DATE(2021,7,1),'DATA INPUT'!$A$3:$A$3000,"&lt;"&amp;DATE(2021,7,31),'DATA INPUT'!$F$3:$F$3000,"&lt;&gt;*Exclude*"))))</f>
        <v>#N/A</v>
      </c>
      <c r="AI57" s="136" t="e">
        <f t="shared" si="0"/>
        <v>#N/A</v>
      </c>
      <c r="AJ57" s="136" t="e">
        <f>IF($L$2="Yes",IF(SUMIFS('DATA INPUT'!$D$3:$D$3000,'DATA INPUT'!$A$3:$A$3000,"&gt;="&amp;DATE(2021,7,1),'DATA INPUT'!$A$3:$A$3000,"&lt;"&amp;DATE(2021,7,31),'DATA INPUT'!$G$3:$G$3000,"&lt;&gt;*School service*")=0,#N/A,(SUMIFS('DATA INPUT'!$D$3:$D$3000,'DATA INPUT'!$A$3:$A$3000,"&gt;="&amp;DATE(2021,7,1),'DATA INPUT'!$A$3:$A$3000,"&lt;"&amp;DATE(2021,7,31),'DATA INPUT'!$G$3:$G$3000,"&lt;&gt;*School service*"))),IF(SUMIFS('DATA INPUT'!$D$3:$D$3000,'DATA INPUT'!$A$3:$A$3000,"&gt;="&amp;DATE(2021,7,1),'DATA INPUT'!$A$3:$A$3000,"&lt;"&amp;DATE(2021,7,31),'DATA INPUT'!$F$3:$F$3000,"&lt;&gt;*Exclude*",'DATA INPUT'!$G$3:$G$3000,"&lt;&gt;*School service*")=0,#N/A,(SUMIFS('DATA INPUT'!$D$3:$D$3000,'DATA INPUT'!$A$3:$A$3000,"&gt;="&amp;DATE(2021,7,1),'DATA INPUT'!$A$3:$A$3000,"&lt;"&amp;DATE(2021,7,31),'DATA INPUT'!$F$3:$F$3000,"&lt;&gt;*Exclude*",'DATA INPUT'!$G$3:$G$3000,"&lt;&gt;*School service*"))))</f>
        <v>#N/A</v>
      </c>
      <c r="AK57" s="136" t="e">
        <f>AI57-AJ57</f>
        <v>#N/A</v>
      </c>
      <c r="AM57" s="117" t="e">
        <f>IF($L$2="Yes",IFERROR((SUMIFS('DATA INPUT'!$E$3:$E$3000,'DATA INPUT'!$B$3:$B$3000,'Report Tables'!AM$1,'DATA INPUT'!$A$3:$A$3000,"&gt;="&amp;DATE(2021,7,1),'DATA INPUT'!$A$3:$A$3000,"&lt;"&amp;DATE(2021,7,31)))/COUNTIFS('DATA INPUT'!$B$3:$B$3000,'Report Tables'!AM$1,'DATA INPUT'!$A$3:$A$3000,"&gt;="&amp;DATE(2021,7,1),'DATA INPUT'!$A$3:$A$3000,"&lt;"&amp;DATE(2021,7,31)),#N/A),IFERROR((SUMIFS('DATA INPUT'!$E$3:$E$3000,'DATA INPUT'!$B$3:$B$3000,'Report Tables'!AM$1,'DATA INPUT'!$A$3:$A$3000,"&gt;="&amp;DATE(2021,7,1),'DATA INPUT'!$A$3:$A$3000,"&lt;"&amp;DATE(2021,7,31),'DATA INPUT'!$F$3:$F$3000,"&lt;&gt;*Exclude*"))/(COUNTIFS('DATA INPUT'!$B$3:$B$3000,'Report Tables'!AM$1,'DATA INPUT'!$A$3:$A$3000,"&gt;="&amp;DATE(2021,7,1),'DATA INPUT'!$A$3:$A$3000,"&lt;"&amp;DATE(2021,7,31),'DATA INPUT'!$F$3:$F$3000,"&lt;&gt;*Exclude*")),#N/A))</f>
        <v>#N/A</v>
      </c>
      <c r="AN57" s="117" t="e">
        <f>IF($L$2="Yes",IFERROR((SUMIFS('DATA INPUT'!$E$3:$E$3000,'DATA INPUT'!$B$3:$B$3000,'Report Tables'!AN$1,'DATA INPUT'!$A$3:$A$3000,"&gt;="&amp;DATE(2021,7,1),'DATA INPUT'!$A$3:$A$3000,"&lt;"&amp;DATE(2021,7,31)))/COUNTIFS('DATA INPUT'!$B$3:$B$3000,'Report Tables'!AN$1,'DATA INPUT'!$A$3:$A$3000,"&gt;="&amp;DATE(2021,7,1),'DATA INPUT'!$A$3:$A$3000,"&lt;"&amp;DATE(2021,7,31)),#N/A),IFERROR((SUMIFS('DATA INPUT'!$E$3:$E$3000,'DATA INPUT'!$B$3:$B$3000,'Report Tables'!AN$1,'DATA INPUT'!$A$3:$A$3000,"&gt;="&amp;DATE(2021,7,1),'DATA INPUT'!$A$3:$A$3000,"&lt;"&amp;DATE(2021,7,31),'DATA INPUT'!$F$3:$F$3000,"&lt;&gt;*Exclude*"))/(COUNTIFS('DATA INPUT'!$B$3:$B$3000,'Report Tables'!AN$1,'DATA INPUT'!$A$3:$A$3000,"&gt;="&amp;DATE(2021,7,1),'DATA INPUT'!$A$3:$A$3000,"&lt;"&amp;DATE(2021,7,31),'DATA INPUT'!$F$3:$F$3000,"&lt;&gt;*Exclude*")),#N/A))</f>
        <v>#N/A</v>
      </c>
      <c r="AO57" s="117" t="e">
        <f>IF($L$2="Yes",IFERROR((SUMIFS('DATA INPUT'!$E$3:$E$3000,'DATA INPUT'!$B$3:$B$3000,'Report Tables'!AO$1,'DATA INPUT'!$A$3:$A$3000,"&gt;="&amp;DATE(2021,7,1),'DATA INPUT'!$A$3:$A$3000,"&lt;"&amp;DATE(2021,7,31)))/COUNTIFS('DATA INPUT'!$B$3:$B$3000,'Report Tables'!AO$1,'DATA INPUT'!$A$3:$A$3000,"&gt;="&amp;DATE(2021,7,1),'DATA INPUT'!$A$3:$A$3000,"&lt;"&amp;DATE(2021,7,31)),#N/A),IFERROR((SUMIFS('DATA INPUT'!$E$3:$E$3000,'DATA INPUT'!$B$3:$B$3000,'Report Tables'!AO$1,'DATA INPUT'!$A$3:$A$3000,"&gt;="&amp;DATE(2021,7,1),'DATA INPUT'!$A$3:$A$3000,"&lt;"&amp;DATE(2021,7,31),'DATA INPUT'!$F$3:$F$3000,"&lt;&gt;*Exclude*"))/(COUNTIFS('DATA INPUT'!$B$3:$B$3000,'Report Tables'!AO$1,'DATA INPUT'!$A$3:$A$3000,"&gt;="&amp;DATE(2021,7,1),'DATA INPUT'!$A$3:$A$3000,"&lt;"&amp;DATE(2021,7,31),'DATA INPUT'!$F$3:$F$3000,"&lt;&gt;*Exclude*")),#N/A))</f>
        <v>#N/A</v>
      </c>
      <c r="AP57" s="117" t="e">
        <f>IF($L$2="Yes",IFERROR((SUMIFS('DATA INPUT'!$E$3:$E$3000,'DATA INPUT'!$B$3:$B$3000,'Report Tables'!AP$1,'DATA INPUT'!$A$3:$A$3000,"&gt;="&amp;DATE(2021,7,1),'DATA INPUT'!$A$3:$A$3000,"&lt;"&amp;DATE(2021,7,31)))/COUNTIFS('DATA INPUT'!$B$3:$B$3000,'Report Tables'!AP$1,'DATA INPUT'!$A$3:$A$3000,"&gt;="&amp;DATE(2021,7,1),'DATA INPUT'!$A$3:$A$3000,"&lt;"&amp;DATE(2021,7,31)),#N/A),IFERROR((SUMIFS('DATA INPUT'!$E$3:$E$3000,'DATA INPUT'!$B$3:$B$3000,'Report Tables'!AP$1,'DATA INPUT'!$A$3:$A$3000,"&gt;="&amp;DATE(2021,7,1),'DATA INPUT'!$A$3:$A$3000,"&lt;"&amp;DATE(2021,7,31),'DATA INPUT'!$F$3:$F$3000,"&lt;&gt;*Exclude*"))/(COUNTIFS('DATA INPUT'!$B$3:$B$3000,'Report Tables'!AP$1,'DATA INPUT'!$A$3:$A$3000,"&gt;="&amp;DATE(2021,7,1),'DATA INPUT'!$A$3:$A$3000,"&lt;"&amp;DATE(2021,7,31),'DATA INPUT'!$F$3:$F$3000,"&lt;&gt;*Exclude*")),#N/A))</f>
        <v>#N/A</v>
      </c>
      <c r="AQ57" s="117" t="e">
        <f>IF($L$2="Yes",IFERROR((SUMIFS('DATA INPUT'!$E$3:$E$3000,'DATA INPUT'!$B$3:$B$3000,'Report Tables'!AQ$1,'DATA INPUT'!$A$3:$A$3000,"&gt;="&amp;DATE(2021,7,1),'DATA INPUT'!$A$3:$A$3000,"&lt;"&amp;DATE(2021,7,31)))/COUNTIFS('DATA INPUT'!$B$3:$B$3000,'Report Tables'!AQ$1,'DATA INPUT'!$A$3:$A$3000,"&gt;="&amp;DATE(2021,7,1),'DATA INPUT'!$A$3:$A$3000,"&lt;"&amp;DATE(2021,7,31)),#N/A),IFERROR((SUMIFS('DATA INPUT'!$E$3:$E$3000,'DATA INPUT'!$B$3:$B$3000,'Report Tables'!AQ$1,'DATA INPUT'!$A$3:$A$3000,"&gt;="&amp;DATE(2021,7,1),'DATA INPUT'!$A$3:$A$3000,"&lt;"&amp;DATE(2021,7,31),'DATA INPUT'!$F$3:$F$3000,"&lt;&gt;*Exclude*"))/(COUNTIFS('DATA INPUT'!$B$3:$B$3000,'Report Tables'!AQ$1,'DATA INPUT'!$A$3:$A$3000,"&gt;="&amp;DATE(2021,7,1),'DATA INPUT'!$A$3:$A$3000,"&lt;"&amp;DATE(2021,7,31),'DATA INPUT'!$F$3:$F$3000,"&lt;&gt;*Exclude*")),#N/A))</f>
        <v>#N/A</v>
      </c>
      <c r="AR57" s="117" t="e">
        <f>IF($L$2="Yes",IFERROR((SUMIFS('DATA INPUT'!$E$3:$E$3000,'DATA INPUT'!$B$3:$B$3000,'Report Tables'!AR$1,'DATA INPUT'!$A$3:$A$3000,"&gt;="&amp;DATE(2021,7,1),'DATA INPUT'!$A$3:$A$3000,"&lt;"&amp;DATE(2021,7,31)))/COUNTIFS('DATA INPUT'!$B$3:$B$3000,'Report Tables'!AR$1,'DATA INPUT'!$A$3:$A$3000,"&gt;="&amp;DATE(2021,7,1),'DATA INPUT'!$A$3:$A$3000,"&lt;"&amp;DATE(2021,7,31)),#N/A),IFERROR((SUMIFS('DATA INPUT'!$E$3:$E$3000,'DATA INPUT'!$B$3:$B$3000,'Report Tables'!AR$1,'DATA INPUT'!$A$3:$A$3000,"&gt;="&amp;DATE(2021,7,1),'DATA INPUT'!$A$3:$A$3000,"&lt;"&amp;DATE(2021,7,31),'DATA INPUT'!$F$3:$F$3000,"&lt;&gt;*Exclude*"))/(COUNTIFS('DATA INPUT'!$B$3:$B$3000,'Report Tables'!AR$1,'DATA INPUT'!$A$3:$A$3000,"&gt;="&amp;DATE(2021,7,1),'DATA INPUT'!$A$3:$A$3000,"&lt;"&amp;DATE(2021,7,31),'DATA INPUT'!$F$3:$F$3000,"&lt;&gt;*Exclude*")),#N/A))</f>
        <v>#N/A</v>
      </c>
      <c r="AS57" s="117" t="e">
        <f>IF($L$2="Yes",IFERROR((SUMIFS('DATA INPUT'!$E$3:$E$3000,'DATA INPUT'!$B$3:$B$3000,'Report Tables'!AS$1,'DATA INPUT'!$A$3:$A$3000,"&gt;="&amp;DATE(2021,7,1),'DATA INPUT'!$A$3:$A$3000,"&lt;"&amp;DATE(2021,7,31)))/COUNTIFS('DATA INPUT'!$B$3:$B$3000,'Report Tables'!AS$1,'DATA INPUT'!$A$3:$A$3000,"&gt;="&amp;DATE(2021,7,1),'DATA INPUT'!$A$3:$A$3000,"&lt;"&amp;DATE(2021,7,31)),#N/A),IFERROR((SUMIFS('DATA INPUT'!$E$3:$E$3000,'DATA INPUT'!$B$3:$B$3000,'Report Tables'!AS$1,'DATA INPUT'!$A$3:$A$3000,"&gt;="&amp;DATE(2021,7,1),'DATA INPUT'!$A$3:$A$3000,"&lt;"&amp;DATE(2021,7,31),'DATA INPUT'!$F$3:$F$3000,"&lt;&gt;*Exclude*"))/(COUNTIFS('DATA INPUT'!$B$3:$B$3000,'Report Tables'!AS$1,'DATA INPUT'!$A$3:$A$3000,"&gt;="&amp;DATE(2021,7,1),'DATA INPUT'!$A$3:$A$3000,"&lt;"&amp;DATE(2021,7,31),'DATA INPUT'!$F$3:$F$3000,"&lt;&gt;*Exclude*")),#N/A))</f>
        <v>#N/A</v>
      </c>
      <c r="AT57" s="117" t="e">
        <f>IF($L$2="Yes",IFERROR((SUMIFS('DATA INPUT'!$E$3:$E$3000,'DATA INPUT'!$B$3:$B$3000,'Report Tables'!AT$1,'DATA INPUT'!$A$3:$A$3000,"&gt;="&amp;DATE(2021,7,1),'DATA INPUT'!$A$3:$A$3000,"&lt;"&amp;DATE(2021,7,31)))/COUNTIFS('DATA INPUT'!$B$3:$B$3000,'Report Tables'!AT$1,'DATA INPUT'!$A$3:$A$3000,"&gt;="&amp;DATE(2021,7,1),'DATA INPUT'!$A$3:$A$3000,"&lt;"&amp;DATE(2021,7,31)),#N/A),IFERROR((SUMIFS('DATA INPUT'!$E$3:$E$3000,'DATA INPUT'!$B$3:$B$3000,'Report Tables'!AT$1,'DATA INPUT'!$A$3:$A$3000,"&gt;="&amp;DATE(2021,7,1),'DATA INPUT'!$A$3:$A$3000,"&lt;"&amp;DATE(2021,7,31),'DATA INPUT'!$F$3:$F$3000,"&lt;&gt;*Exclude*"))/(COUNTIFS('DATA INPUT'!$B$3:$B$3000,'Report Tables'!AT$1,'DATA INPUT'!$A$3:$A$3000,"&gt;="&amp;DATE(2021,7,1),'DATA INPUT'!$A$3:$A$3000,"&lt;"&amp;DATE(2021,7,31),'DATA INPUT'!$F$3:$F$3000,"&lt;&gt;*Exclude*")),#N/A))</f>
        <v>#N/A</v>
      </c>
      <c r="AU57" s="117" t="e">
        <f t="shared" si="1"/>
        <v>#N/A</v>
      </c>
      <c r="AV57" s="117" t="e">
        <f>IF($L$2="Yes",IFERROR((SUMIFS('DATA INPUT'!$D$3:$D$3000,'DATA INPUT'!$A$3:$A$3000,"&gt;="&amp;DATE(2021,7,1),'DATA INPUT'!$A$3:$A$3000,"&lt;"&amp;DATE(2021,7,31),'DATA INPUT'!$G$3:$G$3000,"&lt;&gt;*School service*"))/COUNTIFS('DATA INPUT'!$A$3:$A$3000,"&gt;="&amp;DATE(2021,7,1),'DATA INPUT'!$A$3:$A$3000,"&lt;"&amp;DATE(2021,7,31),'DATA INPUT'!$G$3:$G$3000,"&lt;&gt;*School service*",'DATA INPUT'!$D$3:$D$3000,"&lt;&gt;"&amp;""),#N/A),IFERROR((SUMIFS('DATA INPUT'!$D$3:$D$3000,'DATA INPUT'!$A$3:$A$3000,"&gt;="&amp;DATE(2021,7,1),'DATA INPUT'!$A$3:$A$3000,"&lt;"&amp;DATE(2021,7,31),'DATA INPUT'!$F$3:$F$3000,"&lt;&gt;*Exclude*",'DATA INPUT'!$G$3:$G$3000,"&lt;&gt;*School service*"))/(COUNTIFS('DATA INPUT'!$A$3:$A$3000,"&gt;="&amp;DATE(2021,7,1),'DATA INPUT'!$A$3:$A$3000,"&lt;"&amp;DATE(2021,7,31),'DATA INPUT'!$F$3:$F$3000,"&lt;&gt;*Exclude*",'DATA INPUT'!$G$3:$G$3000,"&lt;&gt;*School service*",'DATA INPUT'!$D$3:$D$3000,"&lt;&gt;"&amp;"")),#N/A))</f>
        <v>#N/A</v>
      </c>
      <c r="AW57" s="117" t="e">
        <f t="shared" si="2"/>
        <v>#N/A</v>
      </c>
      <c r="AX57" s="117" t="e">
        <f>IF($L$2="Yes",IFERROR((SUMIFS('DATA INPUT'!$E$3:$E$3000,'DATA INPUT'!$B$3:$B$3000,'Report Tables'!AX$1,'DATA INPUT'!$A$3:$A$3000,"&gt;="&amp;DATE(2021,7,1),'DATA INPUT'!$A$3:$A$3000,"&lt;"&amp;DATE(2021,7,31)))/COUNTIFS('DATA INPUT'!$B$3:$B$3000,'Report Tables'!AX$1,'DATA INPUT'!$A$3:$A$3000,"&gt;="&amp;DATE(2021,7,1),'DATA INPUT'!$A$3:$A$3000,"&lt;"&amp;DATE(2021,7,31)),#N/A),IFERROR((SUMIFS('DATA INPUT'!$E$3:$E$3000,'DATA INPUT'!$B$3:$B$3000,'Report Tables'!AX$1,'DATA INPUT'!$A$3:$A$3000,"&gt;="&amp;DATE(2021,7,1),'DATA INPUT'!$A$3:$A$3000,"&lt;"&amp;DATE(2021,7,31),'DATA INPUT'!$F$3:$F$3000,"&lt;&gt;*Exclude*"))/(COUNTIFS('DATA INPUT'!$B$3:$B$3000,'Report Tables'!AX$1,'DATA INPUT'!$A$3:$A$3000,"&gt;="&amp;DATE(2021,7,1),'DATA INPUT'!$A$3:$A$3000,"&lt;"&amp;DATE(2021,7,31),'DATA INPUT'!$F$3:$F$3000,"&lt;&gt;*Exclude*")),#N/A))</f>
        <v>#N/A</v>
      </c>
      <c r="AY57" s="117" t="e">
        <f>IF($L$2="Yes",IFERROR((SUMIFS('DATA INPUT'!$D$3:$D$3000,'DATA INPUT'!$B$3:$B$3000,'Report Tables'!AX$1,'DATA INPUT'!$A$3:$A$3000,"&gt;="&amp;DATE(2021,7,1),'DATA INPUT'!$A$3:$A$3000,"&lt;"&amp;DATE(2021,7,31)))/COUNTIFS('DATA INPUT'!$B$3:$B$3000,'Report Tables'!AX$1,'DATA INPUT'!$A$3:$A$3000,"&gt;="&amp;DATE(2021,7,1),'DATA INPUT'!$A$3:$A$3000,"&lt;"&amp;DATE(2021,7,31)),#N/A),IFERROR((SUMIFS('DATA INPUT'!$D$3:$D$3000,'DATA INPUT'!$B$3:$B$3000,'Report Tables'!AX$1,'DATA INPUT'!$A$3:$A$3000,"&gt;="&amp;DATE(2021,7,1),'DATA INPUT'!$A$3:$A$3000,"&lt;"&amp;DATE(2021,7,31),'DATA INPUT'!$F$3:$F$3000,"&lt;&gt;*Exclude*"))/(COUNTIFS('DATA INPUT'!$B$3:$B$3000,'Report Tables'!AX$1,'DATA INPUT'!$A$3:$A$3000,"&gt;="&amp;DATE(2021,7,1),'DATA INPUT'!$A$3:$A$3000,"&lt;"&amp;DATE(2021,7,31),'DATA INPUT'!$F$3:$F$3000,"&lt;&gt;*Exclude*")),#N/A))</f>
        <v>#N/A</v>
      </c>
      <c r="AZ57" s="117" t="e">
        <f>IF($L$2="Yes",IFERROR((SUMIFS('DATA INPUT'!$C$3:$C$3000,'DATA INPUT'!$B$3:$B$3000,'Report Tables'!AX$1,'DATA INPUT'!$A$3:$A$3000,"&gt;="&amp;DATE(2021,7,1),'DATA INPUT'!$A$3:$A$3000,"&lt;"&amp;DATE(2021,7,31)))/COUNTIFS('DATA INPUT'!$B$3:$B$3000,'Report Tables'!AX$1,'DATA INPUT'!$A$3:$A$3000,"&gt;="&amp;DATE(2021,7,1),'DATA INPUT'!$A$3:$A$3000,"&lt;"&amp;DATE(2021,7,31)),#N/A),IFERROR((SUMIFS('DATA INPUT'!$C$3:$C$3000,'DATA INPUT'!$B$3:$B$3000,'Report Tables'!AX$1,'DATA INPUT'!$A$3:$A$3000,"&gt;="&amp;DATE(2021,7,1),'DATA INPUT'!$A$3:$A$3000,"&lt;"&amp;DATE(2021,7,31),'DATA INPUT'!$F$3:$F$3000,"&lt;&gt;*Exclude*"))/(COUNTIFS('DATA INPUT'!$B$3:$B$3000,'Report Tables'!AX$1,'DATA INPUT'!$A$3:$A$3000,"&gt;="&amp;DATE(2021,7,1),'DATA INPUT'!$A$3:$A$3000,"&lt;"&amp;DATE(2021,7,31),'DATA INPUT'!$F$3:$F$3000,"&lt;&gt;*Exclude*")),#N/A))</f>
        <v>#N/A</v>
      </c>
    </row>
    <row r="58" spans="1:52" x14ac:dyDescent="0.3">
      <c r="A58" s="95" t="e">
        <f>VLOOKUP(B58,Information!$C$8:$F$15,4,FALSE)</f>
        <v>#N/A</v>
      </c>
      <c r="B58" s="53">
        <f>$B$10</f>
        <v>0</v>
      </c>
      <c r="C58" s="58" t="e">
        <f>IF($L$2="Yes",(SUMIFS('DATA INPUT'!$D$3:$D$3000,'DATA INPUT'!$A$3:$A$3000,"&gt;="&amp;DATE(2017,1,1),'DATA INPUT'!$A$3:$A$3000,"&lt;="&amp;DATE(2017,12,31),'DATA INPUT'!$B$3:$B$3000,$B58))/(COUNTIFS('DATA INPUT'!$A$3:$A$3000,"&gt;="&amp;DATE(2017,1,1),'DATA INPUT'!$A$3:$A$3000,"&lt;="&amp;DATE(2017,12,31),'DATA INPUT'!$B$3:$B$3000,$B58)),(SUMIFS('DATA INPUT'!$D$3:$D$3000,'DATA INPUT'!$A$3:$A$3000,"&gt;="&amp;DATE(2017,1,1),'DATA INPUT'!$A$3:$A$3000,"&lt;="&amp;DATE(2017,12,31),'DATA INPUT'!$B$3:$B$3000,$B58,'DATA INPUT'!$F$3:$F$3000,"&lt;&gt;*Exclude*"))/(COUNTIFS('DATA INPUT'!$A$3:$A$3000,"&gt;="&amp;DATE(2017,1,1),'DATA INPUT'!$A$3:$A$3000,"&lt;="&amp;DATE(2017,12,31),'DATA INPUT'!$B$3:$B$3000,$B58,'DATA INPUT'!$F$3:$F$3000,"&lt;&gt;*Exclude*")))</f>
        <v>#DIV/0!</v>
      </c>
      <c r="D58" s="58" t="e">
        <f>IF($L$2="Yes",(SUMIFS('DATA INPUT'!$D$3:$D$3000,'DATA INPUT'!$A$3:$A$3000,"&gt;="&amp;DATE(2018,1,1),'DATA INPUT'!$A$3:$A$3000,"&lt;="&amp;DATE(2018,12,31),'DATA INPUT'!$B$3:$B$3000,$B58))/(COUNTIFS('DATA INPUT'!$A$3:$A$3000,"&gt;="&amp;DATE(2018,1,1),'DATA INPUT'!$A$3:$A$3000,"&lt;="&amp;DATE(2018,12,31),'DATA INPUT'!$B$3:$B$3000,$B58)),(SUMIFS('DATA INPUT'!$D$3:$D$3000,'DATA INPUT'!$A$3:$A$3000,"&gt;="&amp;DATE(2018,1,1),'DATA INPUT'!$A$3:$A$3000,"&lt;="&amp;DATE(2018,12,31),'DATA INPUT'!$B$3:$B$3000,$B58,'DATA INPUT'!$F$3:$F$3000,"&lt;&gt;*Exclude*"))/(COUNTIFS('DATA INPUT'!$A$3:$A$3000,"&gt;="&amp;DATE(2018,1,1),'DATA INPUT'!$A$3:$A$3000,"&lt;="&amp;DATE(2018,12,31),'DATA INPUT'!$B$3:$B$3000,$B58,'DATA INPUT'!$F$3:$F$3000,"&lt;&gt;*Exclude*")))</f>
        <v>#DIV/0!</v>
      </c>
      <c r="E58" s="58" t="e">
        <f>IF($L$2="Yes",(SUMIFS('DATA INPUT'!$D$3:$D$3000,'DATA INPUT'!$A$3:$A$3000,"&gt;="&amp;DATE(2019,1,1),'DATA INPUT'!$A$3:$A$3000,"&lt;="&amp;DATE(2019,12,31),'DATA INPUT'!$B$3:$B$3000,$B58))/(COUNTIFS('DATA INPUT'!$A$3:$A$3000,"&gt;="&amp;DATE(2019,1,1),'DATA INPUT'!$A$3:$A$3000,"&lt;="&amp;DATE(2019,12,31),'DATA INPUT'!$B$3:$B$3000,$B58)),(SUMIFS('DATA INPUT'!$D$3:$D$3000,'DATA INPUT'!$A$3:$A$3000,"&gt;="&amp;DATE(2019,1,1),'DATA INPUT'!$A$3:$A$3000,"&lt;="&amp;DATE(2019,12,31),'DATA INPUT'!$B$3:$B$3000,$B58,'DATA INPUT'!$F$3:$F$3000,"&lt;&gt;*Exclude*"))/(COUNTIFS('DATA INPUT'!$A$3:$A$3000,"&gt;="&amp;DATE(2019,1,1),'DATA INPUT'!$A$3:$A$3000,"&lt;="&amp;DATE(2019,12,31),'DATA INPUT'!$B$3:$B$3000,$B58,'DATA INPUT'!$F$3:$F$3000,"&lt;&gt;*Exclude*")))</f>
        <v>#DIV/0!</v>
      </c>
      <c r="F58" s="58" t="e">
        <f>IF($L$2="Yes",(SUMIFS('DATA INPUT'!$D$3:$D$3000,'DATA INPUT'!$A$3:$A$3000,"&gt;="&amp;DATE(2020,1,1),'DATA INPUT'!$A$3:$A$3000,"&lt;="&amp;DATE(2020,12,31),'DATA INPUT'!$B$3:$B$3000,$B58))/(COUNTIFS('DATA INPUT'!$A$3:$A$3000,"&gt;="&amp;DATE(2020,1,1),'DATA INPUT'!$A$3:$A$3000,"&lt;="&amp;DATE(2020,12,31),'DATA INPUT'!$B$3:$B$3000,$B58)),(SUMIFS('DATA INPUT'!$D$3:$D$3000,'DATA INPUT'!$A$3:$A$3000,"&gt;="&amp;DATE(2020,1,1),'DATA INPUT'!$A$3:$A$3000,"&lt;="&amp;DATE(2020,12,31),'DATA INPUT'!$B$3:$B$3000,$B58,'DATA INPUT'!$F$3:$F$3000,"&lt;&gt;*Exclude*"))/(COUNTIFS('DATA INPUT'!$A$3:$A$3000,"&gt;="&amp;DATE(2020,1,1),'DATA INPUT'!$A$3:$A$3000,"&lt;="&amp;DATE(2020,12,31),'DATA INPUT'!$B$3:$B$3000,$B58,'DATA INPUT'!$F$3:$F$3000,"&lt;&gt;*Exclude*")))</f>
        <v>#DIV/0!</v>
      </c>
      <c r="G58" s="58" t="e">
        <f>IF($L$2="Yes",(SUMIFS('DATA INPUT'!$D$3:$D$3000,'DATA INPUT'!$A$3:$A$3000,"&gt;="&amp;DATE(2021,1,1),'DATA INPUT'!$A$3:$A$3000,"&lt;="&amp;DATE(2021,12,31),'DATA INPUT'!$B$3:$B$3000,$B58))/(COUNTIFS('DATA INPUT'!$A$3:$A$3000,"&gt;="&amp;DATE(2021,1,1),'DATA INPUT'!$A$3:$A$3000,"&lt;="&amp;DATE(2021,12,31),'DATA INPUT'!$B$3:$B$3000,$B58)),(SUMIFS('DATA INPUT'!$D$3:$D$3000,'DATA INPUT'!$A$3:$A$3000,"&gt;="&amp;DATE(2021,1,1),'DATA INPUT'!$A$3:$A$3000,"&lt;="&amp;DATE(2021,12,31),'DATA INPUT'!$B$3:$B$3000,$B58,'DATA INPUT'!$F$3:$F$3000,"&lt;&gt;*Exclude*"))/(COUNTIFS('DATA INPUT'!$A$3:$A$3000,"&gt;="&amp;DATE(2021,1,1),'DATA INPUT'!$A$3:$A$3000,"&lt;="&amp;DATE(2021,12,31),'DATA INPUT'!$B$3:$B$3000,$B58,'DATA INPUT'!$F$3:$F$3000,"&lt;&gt;*Exclude*")))</f>
        <v>#DIV/0!</v>
      </c>
      <c r="H58" s="58" t="e">
        <f>IF($L$2="Yes",(SUMIFS('DATA INPUT'!$D$3:$D$3000,'DATA INPUT'!$A$3:$A$3000,"&gt;="&amp;DATE(2022,1,1),'DATA INPUT'!$A$3:$A$3000,"&lt;="&amp;DATE(2022,12,31),'DATA INPUT'!$B$3:$B$3000,$B58))/(COUNTIFS('DATA INPUT'!$A$3:$A$3000,"&gt;="&amp;DATE(2022,1,1),'DATA INPUT'!$A$3:$A$3000,"&lt;="&amp;DATE(2022,12,31),'DATA INPUT'!$B$3:$B$3000,$B58)),(SUMIFS('DATA INPUT'!$D$3:$D$3000,'DATA INPUT'!$A$3:$A$3000,"&gt;="&amp;DATE(2022,1,1),'DATA INPUT'!$A$3:$A$3000,"&lt;="&amp;DATE(2022,12,31),'DATA INPUT'!$B$3:$B$3000,$B58,'DATA INPUT'!$F$3:$F$3000,"&lt;&gt;*Exclude*"))/(COUNTIFS('DATA INPUT'!$A$3:$A$3000,"&gt;="&amp;DATE(2022,1,1),'DATA INPUT'!$A$3:$A$3000,"&lt;="&amp;DATE(2022,12,31),'DATA INPUT'!$B$3:$B$3000,$B58,'DATA INPUT'!$F$3:$F$3000,"&lt;&gt;*Exclude*")))</f>
        <v>#DIV/0!</v>
      </c>
      <c r="I58" s="58" t="e">
        <f>IF($L$2="Yes",(SUMIFS('DATA INPUT'!$D$3:$D$3000,'DATA INPUT'!$A$3:$A$3000,"&gt;="&amp;DATE(2023,1,1),'DATA INPUT'!$A$3:$A$3000,"&lt;="&amp;DATE(2023,12,31),'DATA INPUT'!$B$3:$B$3000,$B58))/(COUNTIFS('DATA INPUT'!$A$3:$A$3000,"&gt;="&amp;DATE(2023,1,1),'DATA INPUT'!$A$3:$A$3000,"&lt;="&amp;DATE(2023,12,31),'DATA INPUT'!$B$3:$B$3000,$B58)),(SUMIFS('DATA INPUT'!$D$3:$D$3000,'DATA INPUT'!$A$3:$A$3000,"&gt;="&amp;DATE(2023,1,1),'DATA INPUT'!$A$3:$A$3000,"&lt;="&amp;DATE(2023,12,31),'DATA INPUT'!$B$3:$B$3000,$B58,'DATA INPUT'!$F$3:$F$3000,"&lt;&gt;*Exclude*"))/(COUNTIFS('DATA INPUT'!$A$3:$A$3000,"&gt;="&amp;DATE(2023,1,1),'DATA INPUT'!$A$3:$A$3000,"&lt;="&amp;DATE(2023,12,31),'DATA INPUT'!$B$3:$B$3000,$B58,'DATA INPUT'!$F$3:$F$3000,"&lt;&gt;*Exclude*")))</f>
        <v>#DIV/0!</v>
      </c>
      <c r="J58" s="58" t="e">
        <f>IF($L$2="Yes",(SUMIFS('DATA INPUT'!$D$3:$D$3000,'DATA INPUT'!$A$3:$A$3000,"&gt;="&amp;DATE(2024,1,1),'DATA INPUT'!$A$3:$A$3000,"&lt;="&amp;DATE(2024,12,31),'DATA INPUT'!$B$3:$B$3000,$B58))/(COUNTIFS('DATA INPUT'!$A$3:$A$3000,"&gt;="&amp;DATE(2024,1,1),'DATA INPUT'!$A$3:$A$3000,"&lt;="&amp;DATE(2024,12,31),'DATA INPUT'!$B$3:$B$3000,$B58)),(SUMIFS('DATA INPUT'!$D$3:$D$3000,'DATA INPUT'!$A$3:$A$3000,"&gt;="&amp;DATE(2024,1,1),'DATA INPUT'!$A$3:$A$3000,"&lt;="&amp;DATE(2024,12,31),'DATA INPUT'!$B$3:$B$3000,$B58,'DATA INPUT'!$F$3:$F$3000,"&lt;&gt;*Exclude*"))/(COUNTIFS('DATA INPUT'!$A$3:$A$3000,"&gt;="&amp;DATE(2024,1,1),'DATA INPUT'!$A$3:$A$3000,"&lt;="&amp;DATE(2024,12,31),'DATA INPUT'!$B$3:$B$3000,$B58,'DATA INPUT'!$F$3:$F$3000,"&lt;&gt;*Exclude*")))</f>
        <v>#DIV/0!</v>
      </c>
      <c r="K58" s="58" t="e">
        <f>IF($L$2="Yes",(SUMIFS('DATA INPUT'!$D$3:$D$3000,'DATA INPUT'!$A$3:$A$3000,"&gt;="&amp;DATE(2025,1,1),'DATA INPUT'!$A$3:$A$3000,"&lt;="&amp;DATE(2025,12,31),'DATA INPUT'!$B$3:$B$3000,$B58))/(COUNTIFS('DATA INPUT'!$A$3:$A$3000,"&gt;="&amp;DATE(2025,1,1),'DATA INPUT'!$A$3:$A$3000,"&lt;="&amp;DATE(2025,12,31),'DATA INPUT'!$B$3:$B$3000,$B58)),(SUMIFS('DATA INPUT'!$D$3:$D$3000,'DATA INPUT'!$A$3:$A$3000,"&gt;="&amp;DATE(2025,1,1),'DATA INPUT'!$A$3:$A$3000,"&lt;="&amp;DATE(2025,12,31),'DATA INPUT'!$B$3:$B$3000,$B58,'DATA INPUT'!$F$3:$F$3000,"&lt;&gt;*Exclude*"))/(COUNTIFS('DATA INPUT'!$A$3:$A$3000,"&gt;="&amp;DATE(2025,1,1),'DATA INPUT'!$A$3:$A$3000,"&lt;="&amp;DATE(2025,12,31),'DATA INPUT'!$B$3:$B$3000,$B58,'DATA INPUT'!$F$3:$F$3000,"&lt;&gt;*Exclude*")))</f>
        <v>#DIV/0!</v>
      </c>
      <c r="L58" s="72" t="str">
        <f t="shared" si="20"/>
        <v/>
      </c>
      <c r="Y58" s="149"/>
      <c r="Z58" s="149" t="s">
        <v>19</v>
      </c>
      <c r="AA58" s="136" t="e">
        <f>IF($L$2="Yes",IF(SUMIFS('DATA INPUT'!$E$3:$E$3000,'DATA INPUT'!$B$3:$B$3000,'Report Tables'!AA$1,'DATA INPUT'!$A$3:$A$3000,"&gt;="&amp;DATE(2021,8,1),'DATA INPUT'!$A$3:$A$3000,"&lt;"&amp;DATE(2021,8,31))=0,#N/A,(SUMIFS('DATA INPUT'!$E$3:$E$3000,'DATA INPUT'!$B$3:$B$3000,'Report Tables'!AA$1,'DATA INPUT'!$A$3:$A$3000,"&gt;="&amp;DATE(2021,8,1),'DATA INPUT'!$A$3:$A$3000,"&lt;"&amp;DATE(2021,8,31)))),IF(SUMIFS('DATA INPUT'!$E$3:$E$3000,'DATA INPUT'!$B$3:$B$3000,'Report Tables'!AA$1,'DATA INPUT'!$A$3:$A$3000,"&gt;="&amp;DATE(2021,8,1),'DATA INPUT'!$A$3:$A$3000,"&lt;"&amp;DATE(2021,8,31),'DATA INPUT'!$F$3:$F$3000,"&lt;&gt;*Exclude*")=0,#N/A,(SUMIFS('DATA INPUT'!$E$3:$E$3000,'DATA INPUT'!$B$3:$B$3000,'Report Tables'!AA$1,'DATA INPUT'!$A$3:$A$3000,"&gt;="&amp;DATE(2021,8,1),'DATA INPUT'!$A$3:$A$3000,"&lt;"&amp;DATE(2021,8,31),'DATA INPUT'!$F$3:$F$3000,"&lt;&gt;*Exclude*"))))</f>
        <v>#N/A</v>
      </c>
      <c r="AB58" s="136" t="e">
        <f>IF($L$2="Yes",IF(SUMIFS('DATA INPUT'!$E$3:$E$3000,'DATA INPUT'!$B$3:$B$3000,'Report Tables'!AB$1,'DATA INPUT'!$A$3:$A$3000,"&gt;="&amp;DATE(2021,8,1),'DATA INPUT'!$A$3:$A$3000,"&lt;"&amp;DATE(2021,8,31))=0,#N/A,(SUMIFS('DATA INPUT'!$E$3:$E$3000,'DATA INPUT'!$B$3:$B$3000,'Report Tables'!AB$1,'DATA INPUT'!$A$3:$A$3000,"&gt;="&amp;DATE(2021,8,1),'DATA INPUT'!$A$3:$A$3000,"&lt;"&amp;DATE(2021,8,31)))),IF(SUMIFS('DATA INPUT'!$E$3:$E$3000,'DATA INPUT'!$B$3:$B$3000,'Report Tables'!AB$1,'DATA INPUT'!$A$3:$A$3000,"&gt;="&amp;DATE(2021,8,1),'DATA INPUT'!$A$3:$A$3000,"&lt;"&amp;DATE(2021,8,31),'DATA INPUT'!$F$3:$F$3000,"&lt;&gt;*Exclude*")=0,#N/A,(SUMIFS('DATA INPUT'!$E$3:$E$3000,'DATA INPUT'!$B$3:$B$3000,'Report Tables'!AB$1,'DATA INPUT'!$A$3:$A$3000,"&gt;="&amp;DATE(2021,8,1),'DATA INPUT'!$A$3:$A$3000,"&lt;"&amp;DATE(2021,8,31),'DATA INPUT'!$F$3:$F$3000,"&lt;&gt;*Exclude*"))))</f>
        <v>#N/A</v>
      </c>
      <c r="AC58" s="136" t="e">
        <f>IF($L$2="Yes",IF(SUMIFS('DATA INPUT'!$E$3:$E$3000,'DATA INPUT'!$B$3:$B$3000,'Report Tables'!AC$1,'DATA INPUT'!$A$3:$A$3000,"&gt;="&amp;DATE(2021,8,1),'DATA INPUT'!$A$3:$A$3000,"&lt;"&amp;DATE(2021,8,31))=0,#N/A,(SUMIFS('DATA INPUT'!$E$3:$E$3000,'DATA INPUT'!$B$3:$B$3000,'Report Tables'!AC$1,'DATA INPUT'!$A$3:$A$3000,"&gt;="&amp;DATE(2021,8,1),'DATA INPUT'!$A$3:$A$3000,"&lt;"&amp;DATE(2021,8,31)))),IF(SUMIFS('DATA INPUT'!$E$3:$E$3000,'DATA INPUT'!$B$3:$B$3000,'Report Tables'!AC$1,'DATA INPUT'!$A$3:$A$3000,"&gt;="&amp;DATE(2021,8,1),'DATA INPUT'!$A$3:$A$3000,"&lt;"&amp;DATE(2021,8,31),'DATA INPUT'!$F$3:$F$3000,"&lt;&gt;*Exclude*")=0,#N/A,(SUMIFS('DATA INPUT'!$E$3:$E$3000,'DATA INPUT'!$B$3:$B$3000,'Report Tables'!AC$1,'DATA INPUT'!$A$3:$A$3000,"&gt;="&amp;DATE(2021,8,1),'DATA INPUT'!$A$3:$A$3000,"&lt;"&amp;DATE(2021,8,31),'DATA INPUT'!$F$3:$F$3000,"&lt;&gt;*Exclude*"))))</f>
        <v>#N/A</v>
      </c>
      <c r="AD58" s="136" t="e">
        <f>IF($L$2="Yes",IF(SUMIFS('DATA INPUT'!$E$3:$E$3000,'DATA INPUT'!$B$3:$B$3000,'Report Tables'!AD$1,'DATA INPUT'!$A$3:$A$3000,"&gt;="&amp;DATE(2021,8,1),'DATA INPUT'!$A$3:$A$3000,"&lt;"&amp;DATE(2021,8,31))=0,#N/A,(SUMIFS('DATA INPUT'!$E$3:$E$3000,'DATA INPUT'!$B$3:$B$3000,'Report Tables'!AD$1,'DATA INPUT'!$A$3:$A$3000,"&gt;="&amp;DATE(2021,8,1),'DATA INPUT'!$A$3:$A$3000,"&lt;"&amp;DATE(2021,8,31)))),IF(SUMIFS('DATA INPUT'!$E$3:$E$3000,'DATA INPUT'!$B$3:$B$3000,'Report Tables'!AD$1,'DATA INPUT'!$A$3:$A$3000,"&gt;="&amp;DATE(2021,8,1),'DATA INPUT'!$A$3:$A$3000,"&lt;"&amp;DATE(2021,8,31),'DATA INPUT'!$F$3:$F$3000,"&lt;&gt;*Exclude*")=0,#N/A,(SUMIFS('DATA INPUT'!$E$3:$E$3000,'DATA INPUT'!$B$3:$B$3000,'Report Tables'!AD$1,'DATA INPUT'!$A$3:$A$3000,"&gt;="&amp;DATE(2021,8,1),'DATA INPUT'!$A$3:$A$3000,"&lt;"&amp;DATE(2021,8,31),'DATA INPUT'!$F$3:$F$3000,"&lt;&gt;*Exclude*"))))</f>
        <v>#N/A</v>
      </c>
      <c r="AE58" s="136" t="e">
        <f>IF($L$2="Yes",IF(SUMIFS('DATA INPUT'!$E$3:$E$3000,'DATA INPUT'!$B$3:$B$3000,'Report Tables'!AE$1,'DATA INPUT'!$A$3:$A$3000,"&gt;="&amp;DATE(2021,8,1),'DATA INPUT'!$A$3:$A$3000,"&lt;"&amp;DATE(2021,8,31))=0,#N/A,(SUMIFS('DATA INPUT'!$E$3:$E$3000,'DATA INPUT'!$B$3:$B$3000,'Report Tables'!AE$1,'DATA INPUT'!$A$3:$A$3000,"&gt;="&amp;DATE(2021,8,1),'DATA INPUT'!$A$3:$A$3000,"&lt;"&amp;DATE(2021,8,31)))),IF(SUMIFS('DATA INPUT'!$E$3:$E$3000,'DATA INPUT'!$B$3:$B$3000,'Report Tables'!AE$1,'DATA INPUT'!$A$3:$A$3000,"&gt;="&amp;DATE(2021,8,1),'DATA INPUT'!$A$3:$A$3000,"&lt;"&amp;DATE(2021,8,31),'DATA INPUT'!$F$3:$F$3000,"&lt;&gt;*Exclude*")=0,#N/A,(SUMIFS('DATA INPUT'!$E$3:$E$3000,'DATA INPUT'!$B$3:$B$3000,'Report Tables'!AE$1,'DATA INPUT'!$A$3:$A$3000,"&gt;="&amp;DATE(2021,8,1),'DATA INPUT'!$A$3:$A$3000,"&lt;"&amp;DATE(2021,8,31),'DATA INPUT'!$F$3:$F$3000,"&lt;&gt;*Exclude*"))))</f>
        <v>#N/A</v>
      </c>
      <c r="AF58" s="136" t="e">
        <f>IF($L$2="Yes",IF(SUMIFS('DATA INPUT'!$E$3:$E$3000,'DATA INPUT'!$B$3:$B$3000,'Report Tables'!AF$1,'DATA INPUT'!$A$3:$A$3000,"&gt;="&amp;DATE(2021,8,1),'DATA INPUT'!$A$3:$A$3000,"&lt;"&amp;DATE(2021,8,31))=0,#N/A,(SUMIFS('DATA INPUT'!$E$3:$E$3000,'DATA INPUT'!$B$3:$B$3000,'Report Tables'!AF$1,'DATA INPUT'!$A$3:$A$3000,"&gt;="&amp;DATE(2021,8,1),'DATA INPUT'!$A$3:$A$3000,"&lt;"&amp;DATE(2021,8,31)))),IF(SUMIFS('DATA INPUT'!$E$3:$E$3000,'DATA INPUT'!$B$3:$B$3000,'Report Tables'!AF$1,'DATA INPUT'!$A$3:$A$3000,"&gt;="&amp;DATE(2021,8,1),'DATA INPUT'!$A$3:$A$3000,"&lt;"&amp;DATE(2021,8,31),'DATA INPUT'!$F$3:$F$3000,"&lt;&gt;*Exclude*")=0,#N/A,(SUMIFS('DATA INPUT'!$E$3:$E$3000,'DATA INPUT'!$B$3:$B$3000,'Report Tables'!AF$1,'DATA INPUT'!$A$3:$A$3000,"&gt;="&amp;DATE(2021,8,1),'DATA INPUT'!$A$3:$A$3000,"&lt;"&amp;DATE(2021,8,31),'DATA INPUT'!$F$3:$F$3000,"&lt;&gt;*Exclude*"))))</f>
        <v>#N/A</v>
      </c>
      <c r="AG58" s="136" t="e">
        <f>IF($L$2="Yes",IF(SUMIFS('DATA INPUT'!$E$3:$E$3000,'DATA INPUT'!$B$3:$B$3000,'Report Tables'!AG$1,'DATA INPUT'!$A$3:$A$3000,"&gt;="&amp;DATE(2021,8,1),'DATA INPUT'!$A$3:$A$3000,"&lt;"&amp;DATE(2021,8,31))=0,#N/A,(SUMIFS('DATA INPUT'!$E$3:$E$3000,'DATA INPUT'!$B$3:$B$3000,'Report Tables'!AG$1,'DATA INPUT'!$A$3:$A$3000,"&gt;="&amp;DATE(2021,8,1),'DATA INPUT'!$A$3:$A$3000,"&lt;"&amp;DATE(2021,8,31)))),IF(SUMIFS('DATA INPUT'!$E$3:$E$3000,'DATA INPUT'!$B$3:$B$3000,'Report Tables'!AG$1,'DATA INPUT'!$A$3:$A$3000,"&gt;="&amp;DATE(2021,8,1),'DATA INPUT'!$A$3:$A$3000,"&lt;"&amp;DATE(2021,8,31),'DATA INPUT'!$F$3:$F$3000,"&lt;&gt;*Exclude*")=0,#N/A,(SUMIFS('DATA INPUT'!$E$3:$E$3000,'DATA INPUT'!$B$3:$B$3000,'Report Tables'!AG$1,'DATA INPUT'!$A$3:$A$3000,"&gt;="&amp;DATE(2021,8,1),'DATA INPUT'!$A$3:$A$3000,"&lt;"&amp;DATE(2021,8,31),'DATA INPUT'!$F$3:$F$3000,"&lt;&gt;*Exclude*"))))</f>
        <v>#N/A</v>
      </c>
      <c r="AH58" s="136" t="e">
        <f>IF($L$2="Yes",IF(SUMIFS('DATA INPUT'!$E$3:$E$3000,'DATA INPUT'!$B$3:$B$3000,'Report Tables'!AH$1,'DATA INPUT'!$A$3:$A$3000,"&gt;="&amp;DATE(2021,8,1),'DATA INPUT'!$A$3:$A$3000,"&lt;"&amp;DATE(2021,8,31))=0,#N/A,(SUMIFS('DATA INPUT'!$E$3:$E$3000,'DATA INPUT'!$B$3:$B$3000,'Report Tables'!AH$1,'DATA INPUT'!$A$3:$A$3000,"&gt;="&amp;DATE(2021,8,1),'DATA INPUT'!$A$3:$A$3000,"&lt;"&amp;DATE(2021,8,31)))),IF(SUMIFS('DATA INPUT'!$E$3:$E$3000,'DATA INPUT'!$B$3:$B$3000,'Report Tables'!AH$1,'DATA INPUT'!$A$3:$A$3000,"&gt;="&amp;DATE(2021,8,1),'DATA INPUT'!$A$3:$A$3000,"&lt;"&amp;DATE(2021,8,31),'DATA INPUT'!$F$3:$F$3000,"&lt;&gt;*Exclude*")=0,#N/A,(SUMIFS('DATA INPUT'!$E$3:$E$3000,'DATA INPUT'!$B$3:$B$3000,'Report Tables'!AH$1,'DATA INPUT'!$A$3:$A$3000,"&gt;="&amp;DATE(2021,8,1),'DATA INPUT'!$A$3:$A$3000,"&lt;"&amp;DATE(2021,8,31),'DATA INPUT'!$F$3:$F$3000,"&lt;&gt;*Exclude*"))))</f>
        <v>#N/A</v>
      </c>
      <c r="AI58" s="136" t="e">
        <f t="shared" si="0"/>
        <v>#N/A</v>
      </c>
      <c r="AJ58" s="136" t="e">
        <f>IF($L$2="Yes",IF(SUMIFS('DATA INPUT'!$D$3:$D$3000,'DATA INPUT'!$A$3:$A$3000,"&gt;="&amp;DATE(2021,8,1),'DATA INPUT'!$A$3:$A$3000,"&lt;"&amp;DATE(2021,8,31),'DATA INPUT'!$G$3:$G$3000,"&lt;&gt;*School service*")=0,#N/A,(SUMIFS('DATA INPUT'!$D$3:$D$3000,'DATA INPUT'!$A$3:$A$3000,"&gt;="&amp;DATE(2021,8,1),'DATA INPUT'!$A$3:$A$3000,"&lt;"&amp;DATE(2021,8,31),'DATA INPUT'!$G$3:$G$3000,"&lt;&gt;*School service*"))),IF(SUMIFS('DATA INPUT'!$D$3:$D$3000,'DATA INPUT'!$A$3:$A$3000,"&gt;="&amp;DATE(2021,8,1),'DATA INPUT'!$A$3:$A$3000,"&lt;"&amp;DATE(2021,8,31),'DATA INPUT'!$F$3:$F$3000,"&lt;&gt;*Exclude*",'DATA INPUT'!$G$3:$G$3000,"&lt;&gt;*School service*")=0,#N/A,(SUMIFS('DATA INPUT'!$D$3:$D$3000,'DATA INPUT'!$A$3:$A$3000,"&gt;="&amp;DATE(2021,8,1),'DATA INPUT'!$A$3:$A$3000,"&lt;"&amp;DATE(2021,8,31),'DATA INPUT'!$F$3:$F$3000,"&lt;&gt;*Exclude*",'DATA INPUT'!$G$3:$G$3000,"&lt;&gt;*School service*"))))</f>
        <v>#N/A</v>
      </c>
      <c r="AK58" s="136" t="e">
        <f>AI58-AJ58</f>
        <v>#N/A</v>
      </c>
      <c r="AM58" s="117" t="e">
        <f>IF($L$2="Yes",IFERROR((SUMIFS('DATA INPUT'!$E$3:$E$3000,'DATA INPUT'!$B$3:$B$3000,'Report Tables'!AM$1,'DATA INPUT'!$A$3:$A$3000,"&gt;="&amp;DATE(2021,8,1),'DATA INPUT'!$A$3:$A$3000,"&lt;"&amp;DATE(2021,8,31)))/COUNTIFS('DATA INPUT'!$B$3:$B$3000,'Report Tables'!AM$1,'DATA INPUT'!$A$3:$A$3000,"&gt;="&amp;DATE(2021,8,1),'DATA INPUT'!$A$3:$A$3000,"&lt;"&amp;DATE(2021,8,31)),#N/A),IFERROR((SUMIFS('DATA INPUT'!$E$3:$E$3000,'DATA INPUT'!$B$3:$B$3000,'Report Tables'!AM$1,'DATA INPUT'!$A$3:$A$3000,"&gt;="&amp;DATE(2021,8,1),'DATA INPUT'!$A$3:$A$3000,"&lt;"&amp;DATE(2021,8,31),'DATA INPUT'!$F$3:$F$3000,"&lt;&gt;*Exclude*"))/(COUNTIFS('DATA INPUT'!$B$3:$B$3000,'Report Tables'!AM$1,'DATA INPUT'!$A$3:$A$3000,"&gt;="&amp;DATE(2021,8,1),'DATA INPUT'!$A$3:$A$3000,"&lt;"&amp;DATE(2021,8,31),'DATA INPUT'!$F$3:$F$3000,"&lt;&gt;*Exclude*")),#N/A))</f>
        <v>#N/A</v>
      </c>
      <c r="AN58" s="117" t="e">
        <f>IF($L$2="Yes",IFERROR((SUMIFS('DATA INPUT'!$E$3:$E$3000,'DATA INPUT'!$B$3:$B$3000,'Report Tables'!AN$1,'DATA INPUT'!$A$3:$A$3000,"&gt;="&amp;DATE(2021,8,1),'DATA INPUT'!$A$3:$A$3000,"&lt;"&amp;DATE(2021,8,31)))/COUNTIFS('DATA INPUT'!$B$3:$B$3000,'Report Tables'!AN$1,'DATA INPUT'!$A$3:$A$3000,"&gt;="&amp;DATE(2021,8,1),'DATA INPUT'!$A$3:$A$3000,"&lt;"&amp;DATE(2021,8,31)),#N/A),IFERROR((SUMIFS('DATA INPUT'!$E$3:$E$3000,'DATA INPUT'!$B$3:$B$3000,'Report Tables'!AN$1,'DATA INPUT'!$A$3:$A$3000,"&gt;="&amp;DATE(2021,8,1),'DATA INPUT'!$A$3:$A$3000,"&lt;"&amp;DATE(2021,8,31),'DATA INPUT'!$F$3:$F$3000,"&lt;&gt;*Exclude*"))/(COUNTIFS('DATA INPUT'!$B$3:$B$3000,'Report Tables'!AN$1,'DATA INPUT'!$A$3:$A$3000,"&gt;="&amp;DATE(2021,8,1),'DATA INPUT'!$A$3:$A$3000,"&lt;"&amp;DATE(2021,8,31),'DATA INPUT'!$F$3:$F$3000,"&lt;&gt;*Exclude*")),#N/A))</f>
        <v>#N/A</v>
      </c>
      <c r="AO58" s="117" t="e">
        <f>IF($L$2="Yes",IFERROR((SUMIFS('DATA INPUT'!$E$3:$E$3000,'DATA INPUT'!$B$3:$B$3000,'Report Tables'!AO$1,'DATA INPUT'!$A$3:$A$3000,"&gt;="&amp;DATE(2021,8,1),'DATA INPUT'!$A$3:$A$3000,"&lt;"&amp;DATE(2021,8,31)))/COUNTIFS('DATA INPUT'!$B$3:$B$3000,'Report Tables'!AO$1,'DATA INPUT'!$A$3:$A$3000,"&gt;="&amp;DATE(2021,8,1),'DATA INPUT'!$A$3:$A$3000,"&lt;"&amp;DATE(2021,8,31)),#N/A),IFERROR((SUMIFS('DATA INPUT'!$E$3:$E$3000,'DATA INPUT'!$B$3:$B$3000,'Report Tables'!AO$1,'DATA INPUT'!$A$3:$A$3000,"&gt;="&amp;DATE(2021,8,1),'DATA INPUT'!$A$3:$A$3000,"&lt;"&amp;DATE(2021,8,31),'DATA INPUT'!$F$3:$F$3000,"&lt;&gt;*Exclude*"))/(COUNTIFS('DATA INPUT'!$B$3:$B$3000,'Report Tables'!AO$1,'DATA INPUT'!$A$3:$A$3000,"&gt;="&amp;DATE(2021,8,1),'DATA INPUT'!$A$3:$A$3000,"&lt;"&amp;DATE(2021,8,31),'DATA INPUT'!$F$3:$F$3000,"&lt;&gt;*Exclude*")),#N/A))</f>
        <v>#N/A</v>
      </c>
      <c r="AP58" s="117" t="e">
        <f>IF($L$2="Yes",IFERROR((SUMIFS('DATA INPUT'!$E$3:$E$3000,'DATA INPUT'!$B$3:$B$3000,'Report Tables'!AP$1,'DATA INPUT'!$A$3:$A$3000,"&gt;="&amp;DATE(2021,8,1),'DATA INPUT'!$A$3:$A$3000,"&lt;"&amp;DATE(2021,8,31)))/COUNTIFS('DATA INPUT'!$B$3:$B$3000,'Report Tables'!AP$1,'DATA INPUT'!$A$3:$A$3000,"&gt;="&amp;DATE(2021,8,1),'DATA INPUT'!$A$3:$A$3000,"&lt;"&amp;DATE(2021,8,31)),#N/A),IFERROR((SUMIFS('DATA INPUT'!$E$3:$E$3000,'DATA INPUT'!$B$3:$B$3000,'Report Tables'!AP$1,'DATA INPUT'!$A$3:$A$3000,"&gt;="&amp;DATE(2021,8,1),'DATA INPUT'!$A$3:$A$3000,"&lt;"&amp;DATE(2021,8,31),'DATA INPUT'!$F$3:$F$3000,"&lt;&gt;*Exclude*"))/(COUNTIFS('DATA INPUT'!$B$3:$B$3000,'Report Tables'!AP$1,'DATA INPUT'!$A$3:$A$3000,"&gt;="&amp;DATE(2021,8,1),'DATA INPUT'!$A$3:$A$3000,"&lt;"&amp;DATE(2021,8,31),'DATA INPUT'!$F$3:$F$3000,"&lt;&gt;*Exclude*")),#N/A))</f>
        <v>#N/A</v>
      </c>
      <c r="AQ58" s="117" t="e">
        <f>IF($L$2="Yes",IFERROR((SUMIFS('DATA INPUT'!$E$3:$E$3000,'DATA INPUT'!$B$3:$B$3000,'Report Tables'!AQ$1,'DATA INPUT'!$A$3:$A$3000,"&gt;="&amp;DATE(2021,8,1),'DATA INPUT'!$A$3:$A$3000,"&lt;"&amp;DATE(2021,8,31)))/COUNTIFS('DATA INPUT'!$B$3:$B$3000,'Report Tables'!AQ$1,'DATA INPUT'!$A$3:$A$3000,"&gt;="&amp;DATE(2021,8,1),'DATA INPUT'!$A$3:$A$3000,"&lt;"&amp;DATE(2021,8,31)),#N/A),IFERROR((SUMIFS('DATA INPUT'!$E$3:$E$3000,'DATA INPUT'!$B$3:$B$3000,'Report Tables'!AQ$1,'DATA INPUT'!$A$3:$A$3000,"&gt;="&amp;DATE(2021,8,1),'DATA INPUT'!$A$3:$A$3000,"&lt;"&amp;DATE(2021,8,31),'DATA INPUT'!$F$3:$F$3000,"&lt;&gt;*Exclude*"))/(COUNTIFS('DATA INPUT'!$B$3:$B$3000,'Report Tables'!AQ$1,'DATA INPUT'!$A$3:$A$3000,"&gt;="&amp;DATE(2021,8,1),'DATA INPUT'!$A$3:$A$3000,"&lt;"&amp;DATE(2021,8,31),'DATA INPUT'!$F$3:$F$3000,"&lt;&gt;*Exclude*")),#N/A))</f>
        <v>#N/A</v>
      </c>
      <c r="AR58" s="117" t="e">
        <f>IF($L$2="Yes",IFERROR((SUMIFS('DATA INPUT'!$E$3:$E$3000,'DATA INPUT'!$B$3:$B$3000,'Report Tables'!AR$1,'DATA INPUT'!$A$3:$A$3000,"&gt;="&amp;DATE(2021,8,1),'DATA INPUT'!$A$3:$A$3000,"&lt;"&amp;DATE(2021,8,31)))/COUNTIFS('DATA INPUT'!$B$3:$B$3000,'Report Tables'!AR$1,'DATA INPUT'!$A$3:$A$3000,"&gt;="&amp;DATE(2021,8,1),'DATA INPUT'!$A$3:$A$3000,"&lt;"&amp;DATE(2021,8,31)),#N/A),IFERROR((SUMIFS('DATA INPUT'!$E$3:$E$3000,'DATA INPUT'!$B$3:$B$3000,'Report Tables'!AR$1,'DATA INPUT'!$A$3:$A$3000,"&gt;="&amp;DATE(2021,8,1),'DATA INPUT'!$A$3:$A$3000,"&lt;"&amp;DATE(2021,8,31),'DATA INPUT'!$F$3:$F$3000,"&lt;&gt;*Exclude*"))/(COUNTIFS('DATA INPUT'!$B$3:$B$3000,'Report Tables'!AR$1,'DATA INPUT'!$A$3:$A$3000,"&gt;="&amp;DATE(2021,8,1),'DATA INPUT'!$A$3:$A$3000,"&lt;"&amp;DATE(2021,8,31),'DATA INPUT'!$F$3:$F$3000,"&lt;&gt;*Exclude*")),#N/A))</f>
        <v>#N/A</v>
      </c>
      <c r="AS58" s="117" t="e">
        <f>IF($L$2="Yes",IFERROR((SUMIFS('DATA INPUT'!$E$3:$E$3000,'DATA INPUT'!$B$3:$B$3000,'Report Tables'!AS$1,'DATA INPUT'!$A$3:$A$3000,"&gt;="&amp;DATE(2021,8,1),'DATA INPUT'!$A$3:$A$3000,"&lt;"&amp;DATE(2021,8,31)))/COUNTIFS('DATA INPUT'!$B$3:$B$3000,'Report Tables'!AS$1,'DATA INPUT'!$A$3:$A$3000,"&gt;="&amp;DATE(2021,8,1),'DATA INPUT'!$A$3:$A$3000,"&lt;"&amp;DATE(2021,8,31)),#N/A),IFERROR((SUMIFS('DATA INPUT'!$E$3:$E$3000,'DATA INPUT'!$B$3:$B$3000,'Report Tables'!AS$1,'DATA INPUT'!$A$3:$A$3000,"&gt;="&amp;DATE(2021,8,1),'DATA INPUT'!$A$3:$A$3000,"&lt;"&amp;DATE(2021,8,31),'DATA INPUT'!$F$3:$F$3000,"&lt;&gt;*Exclude*"))/(COUNTIFS('DATA INPUT'!$B$3:$B$3000,'Report Tables'!AS$1,'DATA INPUT'!$A$3:$A$3000,"&gt;="&amp;DATE(2021,8,1),'DATA INPUT'!$A$3:$A$3000,"&lt;"&amp;DATE(2021,8,31),'DATA INPUT'!$F$3:$F$3000,"&lt;&gt;*Exclude*")),#N/A))</f>
        <v>#N/A</v>
      </c>
      <c r="AT58" s="117" t="e">
        <f>IF($L$2="Yes",IFERROR((SUMIFS('DATA INPUT'!$E$3:$E$3000,'DATA INPUT'!$B$3:$B$3000,'Report Tables'!AT$1,'DATA INPUT'!$A$3:$A$3000,"&gt;="&amp;DATE(2021,8,1),'DATA INPUT'!$A$3:$A$3000,"&lt;"&amp;DATE(2021,8,31)))/COUNTIFS('DATA INPUT'!$B$3:$B$3000,'Report Tables'!AT$1,'DATA INPUT'!$A$3:$A$3000,"&gt;="&amp;DATE(2021,8,1),'DATA INPUT'!$A$3:$A$3000,"&lt;"&amp;DATE(2021,8,31)),#N/A),IFERROR((SUMIFS('DATA INPUT'!$E$3:$E$3000,'DATA INPUT'!$B$3:$B$3000,'Report Tables'!AT$1,'DATA INPUT'!$A$3:$A$3000,"&gt;="&amp;DATE(2021,8,1),'DATA INPUT'!$A$3:$A$3000,"&lt;"&amp;DATE(2021,8,31),'DATA INPUT'!$F$3:$F$3000,"&lt;&gt;*Exclude*"))/(COUNTIFS('DATA INPUT'!$B$3:$B$3000,'Report Tables'!AT$1,'DATA INPUT'!$A$3:$A$3000,"&gt;="&amp;DATE(2021,8,1),'DATA INPUT'!$A$3:$A$3000,"&lt;"&amp;DATE(2021,8,31),'DATA INPUT'!$F$3:$F$3000,"&lt;&gt;*Exclude*")),#N/A))</f>
        <v>#N/A</v>
      </c>
      <c r="AU58" s="117" t="e">
        <f t="shared" si="1"/>
        <v>#N/A</v>
      </c>
      <c r="AV58" s="117" t="e">
        <f>IF($L$2="Yes",IFERROR((SUMIFS('DATA INPUT'!$D$3:$D$3000,'DATA INPUT'!$A$3:$A$3000,"&gt;="&amp;DATE(2021,8,1),'DATA INPUT'!$A$3:$A$3000,"&lt;"&amp;DATE(2021,8,31),'DATA INPUT'!$G$3:$G$3000,"&lt;&gt;*School service*"))/COUNTIFS('DATA INPUT'!$A$3:$A$3000,"&gt;="&amp;DATE(2021,8,1),'DATA INPUT'!$A$3:$A$3000,"&lt;"&amp;DATE(2021,8,31),'DATA INPUT'!$G$3:$G$3000,"&lt;&gt;*School service*",'DATA INPUT'!$D$3:$D$3000,"&lt;&gt;"&amp;""),#N/A),IFERROR((SUMIFS('DATA INPUT'!$D$3:$D$3000,'DATA INPUT'!$A$3:$A$3000,"&gt;="&amp;DATE(2021,8,1),'DATA INPUT'!$A$3:$A$3000,"&lt;"&amp;DATE(2021,8,31),'DATA INPUT'!$F$3:$F$3000,"&lt;&gt;*Exclude*",'DATA INPUT'!$G$3:$G$3000,"&lt;&gt;*School service*"))/(COUNTIFS('DATA INPUT'!$A$3:$A$3000,"&gt;="&amp;DATE(2021,8,1),'DATA INPUT'!$A$3:$A$3000,"&lt;"&amp;DATE(2021,8,31),'DATA INPUT'!$F$3:$F$3000,"&lt;&gt;*Exclude*",'DATA INPUT'!$G$3:$G$3000,"&lt;&gt;*School service*",'DATA INPUT'!$D$3:$D$3000,"&lt;&gt;"&amp;"")),#N/A))</f>
        <v>#N/A</v>
      </c>
      <c r="AW58" s="117" t="e">
        <f t="shared" si="2"/>
        <v>#N/A</v>
      </c>
      <c r="AX58" s="117" t="e">
        <f>IF($L$2="Yes",IFERROR((SUMIFS('DATA INPUT'!$E$3:$E$3000,'DATA INPUT'!$B$3:$B$3000,'Report Tables'!AX$1,'DATA INPUT'!$A$3:$A$3000,"&gt;="&amp;DATE(2021,8,1),'DATA INPUT'!$A$3:$A$3000,"&lt;"&amp;DATE(2021,8,31)))/COUNTIFS('DATA INPUT'!$B$3:$B$3000,'Report Tables'!AX$1,'DATA INPUT'!$A$3:$A$3000,"&gt;="&amp;DATE(2021,8,1),'DATA INPUT'!$A$3:$A$3000,"&lt;"&amp;DATE(2021,8,31)),#N/A),IFERROR((SUMIFS('DATA INPUT'!$E$3:$E$3000,'DATA INPUT'!$B$3:$B$3000,'Report Tables'!AX$1,'DATA INPUT'!$A$3:$A$3000,"&gt;="&amp;DATE(2021,8,1),'DATA INPUT'!$A$3:$A$3000,"&lt;"&amp;DATE(2021,8,31),'DATA INPUT'!$F$3:$F$3000,"&lt;&gt;*Exclude*"))/(COUNTIFS('DATA INPUT'!$B$3:$B$3000,'Report Tables'!AX$1,'DATA INPUT'!$A$3:$A$3000,"&gt;="&amp;DATE(2021,8,1),'DATA INPUT'!$A$3:$A$3000,"&lt;"&amp;DATE(2021,8,31),'DATA INPUT'!$F$3:$F$3000,"&lt;&gt;*Exclude*")),#N/A))</f>
        <v>#N/A</v>
      </c>
      <c r="AY58" s="117" t="e">
        <f>IF($L$2="Yes",IFERROR((SUMIFS('DATA INPUT'!$D$3:$D$3000,'DATA INPUT'!$B$3:$B$3000,'Report Tables'!AX$1,'DATA INPUT'!$A$3:$A$3000,"&gt;="&amp;DATE(2021,8,1),'DATA INPUT'!$A$3:$A$3000,"&lt;"&amp;DATE(2021,8,31)))/COUNTIFS('DATA INPUT'!$B$3:$B$3000,'Report Tables'!AX$1,'DATA INPUT'!$A$3:$A$3000,"&gt;="&amp;DATE(2021,8,1),'DATA INPUT'!$A$3:$A$3000,"&lt;"&amp;DATE(2021,8,31)),#N/A),IFERROR((SUMIFS('DATA INPUT'!$D$3:$D$3000,'DATA INPUT'!$B$3:$B$3000,'Report Tables'!AX$1,'DATA INPUT'!$A$3:$A$3000,"&gt;="&amp;DATE(2021,8,1),'DATA INPUT'!$A$3:$A$3000,"&lt;"&amp;DATE(2021,8,31),'DATA INPUT'!$F$3:$F$3000,"&lt;&gt;*Exclude*"))/(COUNTIFS('DATA INPUT'!$B$3:$B$3000,'Report Tables'!AX$1,'DATA INPUT'!$A$3:$A$3000,"&gt;="&amp;DATE(2021,8,1),'DATA INPUT'!$A$3:$A$3000,"&lt;"&amp;DATE(2021,8,31),'DATA INPUT'!$F$3:$F$3000,"&lt;&gt;*Exclude*")),#N/A))</f>
        <v>#N/A</v>
      </c>
      <c r="AZ58" s="117" t="e">
        <f>IF($L$2="Yes",IFERROR((SUMIFS('DATA INPUT'!$C$3:$C$3000,'DATA INPUT'!$B$3:$B$3000,'Report Tables'!AX$1,'DATA INPUT'!$A$3:$A$3000,"&gt;="&amp;DATE(2021,8,1),'DATA INPUT'!$A$3:$A$3000,"&lt;"&amp;DATE(2021,8,31)))/COUNTIFS('DATA INPUT'!$B$3:$B$3000,'Report Tables'!AX$1,'DATA INPUT'!$A$3:$A$3000,"&gt;="&amp;DATE(2021,8,1),'DATA INPUT'!$A$3:$A$3000,"&lt;"&amp;DATE(2021,8,31)),#N/A),IFERROR((SUMIFS('DATA INPUT'!$C$3:$C$3000,'DATA INPUT'!$B$3:$B$3000,'Report Tables'!AX$1,'DATA INPUT'!$A$3:$A$3000,"&gt;="&amp;DATE(2021,8,1),'DATA INPUT'!$A$3:$A$3000,"&lt;"&amp;DATE(2021,8,31),'DATA INPUT'!$F$3:$F$3000,"&lt;&gt;*Exclude*"))/(COUNTIFS('DATA INPUT'!$B$3:$B$3000,'Report Tables'!AX$1,'DATA INPUT'!$A$3:$A$3000,"&gt;="&amp;DATE(2021,8,1),'DATA INPUT'!$A$3:$A$3000,"&lt;"&amp;DATE(2021,8,31),'DATA INPUT'!$F$3:$F$3000,"&lt;&gt;*Exclude*")),#N/A))</f>
        <v>#N/A</v>
      </c>
    </row>
    <row r="59" spans="1:52" x14ac:dyDescent="0.3">
      <c r="A59" s="95" t="e">
        <f>VLOOKUP(B59,Information!$C$8:$F$15,4,FALSE)</f>
        <v>#N/A</v>
      </c>
      <c r="B59" s="53">
        <f>$B$11</f>
        <v>0</v>
      </c>
      <c r="C59" s="58" t="e">
        <f>IF($L$2="Yes",(SUMIFS('DATA INPUT'!$D$3:$D$3000,'DATA INPUT'!$A$3:$A$3000,"&gt;="&amp;DATE(2017,1,1),'DATA INPUT'!$A$3:$A$3000,"&lt;="&amp;DATE(2017,12,31),'DATA INPUT'!$B$3:$B$3000,$B59))/(COUNTIFS('DATA INPUT'!$A$3:$A$3000,"&gt;="&amp;DATE(2017,1,1),'DATA INPUT'!$A$3:$A$3000,"&lt;="&amp;DATE(2017,12,31),'DATA INPUT'!$B$3:$B$3000,$B59)),(SUMIFS('DATA INPUT'!$D$3:$D$3000,'DATA INPUT'!$A$3:$A$3000,"&gt;="&amp;DATE(2017,1,1),'DATA INPUT'!$A$3:$A$3000,"&lt;="&amp;DATE(2017,12,31),'DATA INPUT'!$B$3:$B$3000,$B59,'DATA INPUT'!$F$3:$F$3000,"&lt;&gt;*Exclude*"))/(COUNTIFS('DATA INPUT'!$A$3:$A$3000,"&gt;="&amp;DATE(2017,1,1),'DATA INPUT'!$A$3:$A$3000,"&lt;="&amp;DATE(2017,12,31),'DATA INPUT'!$B$3:$B$3000,$B59,'DATA INPUT'!$F$3:$F$3000,"&lt;&gt;*Exclude*")))</f>
        <v>#DIV/0!</v>
      </c>
      <c r="D59" s="58" t="e">
        <f>IF($L$2="Yes",(SUMIFS('DATA INPUT'!$D$3:$D$3000,'DATA INPUT'!$A$3:$A$3000,"&gt;="&amp;DATE(2018,1,1),'DATA INPUT'!$A$3:$A$3000,"&lt;="&amp;DATE(2018,12,31),'DATA INPUT'!$B$3:$B$3000,$B59))/(COUNTIFS('DATA INPUT'!$A$3:$A$3000,"&gt;="&amp;DATE(2018,1,1),'DATA INPUT'!$A$3:$A$3000,"&lt;="&amp;DATE(2018,12,31),'DATA INPUT'!$B$3:$B$3000,$B59)),(SUMIFS('DATA INPUT'!$D$3:$D$3000,'DATA INPUT'!$A$3:$A$3000,"&gt;="&amp;DATE(2018,1,1),'DATA INPUT'!$A$3:$A$3000,"&lt;="&amp;DATE(2018,12,31),'DATA INPUT'!$B$3:$B$3000,$B59,'DATA INPUT'!$F$3:$F$3000,"&lt;&gt;*Exclude*"))/(COUNTIFS('DATA INPUT'!$A$3:$A$3000,"&gt;="&amp;DATE(2018,1,1),'DATA INPUT'!$A$3:$A$3000,"&lt;="&amp;DATE(2018,12,31),'DATA INPUT'!$B$3:$B$3000,$B59,'DATA INPUT'!$F$3:$F$3000,"&lt;&gt;*Exclude*")))</f>
        <v>#DIV/0!</v>
      </c>
      <c r="E59" s="58" t="e">
        <f>IF($L$2="Yes",(SUMIFS('DATA INPUT'!$D$3:$D$3000,'DATA INPUT'!$A$3:$A$3000,"&gt;="&amp;DATE(2019,1,1),'DATA INPUT'!$A$3:$A$3000,"&lt;="&amp;DATE(2019,12,31),'DATA INPUT'!$B$3:$B$3000,$B59))/(COUNTIFS('DATA INPUT'!$A$3:$A$3000,"&gt;="&amp;DATE(2019,1,1),'DATA INPUT'!$A$3:$A$3000,"&lt;="&amp;DATE(2019,12,31),'DATA INPUT'!$B$3:$B$3000,$B59)),(SUMIFS('DATA INPUT'!$D$3:$D$3000,'DATA INPUT'!$A$3:$A$3000,"&gt;="&amp;DATE(2019,1,1),'DATA INPUT'!$A$3:$A$3000,"&lt;="&amp;DATE(2019,12,31),'DATA INPUT'!$B$3:$B$3000,$B59,'DATA INPUT'!$F$3:$F$3000,"&lt;&gt;*Exclude*"))/(COUNTIFS('DATA INPUT'!$A$3:$A$3000,"&gt;="&amp;DATE(2019,1,1),'DATA INPUT'!$A$3:$A$3000,"&lt;="&amp;DATE(2019,12,31),'DATA INPUT'!$B$3:$B$3000,$B59,'DATA INPUT'!$F$3:$F$3000,"&lt;&gt;*Exclude*")))</f>
        <v>#DIV/0!</v>
      </c>
      <c r="F59" s="58" t="e">
        <f>IF($L$2="Yes",(SUMIFS('DATA INPUT'!$D$3:$D$3000,'DATA INPUT'!$A$3:$A$3000,"&gt;="&amp;DATE(2020,1,1),'DATA INPUT'!$A$3:$A$3000,"&lt;="&amp;DATE(2020,12,31),'DATA INPUT'!$B$3:$B$3000,$B59))/(COUNTIFS('DATA INPUT'!$A$3:$A$3000,"&gt;="&amp;DATE(2020,1,1),'DATA INPUT'!$A$3:$A$3000,"&lt;="&amp;DATE(2020,12,31),'DATA INPUT'!$B$3:$B$3000,$B59)),(SUMIFS('DATA INPUT'!$D$3:$D$3000,'DATA INPUT'!$A$3:$A$3000,"&gt;="&amp;DATE(2020,1,1),'DATA INPUT'!$A$3:$A$3000,"&lt;="&amp;DATE(2020,12,31),'DATA INPUT'!$B$3:$B$3000,$B59,'DATA INPUT'!$F$3:$F$3000,"&lt;&gt;*Exclude*"))/(COUNTIFS('DATA INPUT'!$A$3:$A$3000,"&gt;="&amp;DATE(2020,1,1),'DATA INPUT'!$A$3:$A$3000,"&lt;="&amp;DATE(2020,12,31),'DATA INPUT'!$B$3:$B$3000,$B59,'DATA INPUT'!$F$3:$F$3000,"&lt;&gt;*Exclude*")))</f>
        <v>#DIV/0!</v>
      </c>
      <c r="G59" s="58" t="e">
        <f>IF($L$2="Yes",(SUMIFS('DATA INPUT'!$D$3:$D$3000,'DATA INPUT'!$A$3:$A$3000,"&gt;="&amp;DATE(2021,1,1),'DATA INPUT'!$A$3:$A$3000,"&lt;="&amp;DATE(2021,12,31),'DATA INPUT'!$B$3:$B$3000,$B59))/(COUNTIFS('DATA INPUT'!$A$3:$A$3000,"&gt;="&amp;DATE(2021,1,1),'DATA INPUT'!$A$3:$A$3000,"&lt;="&amp;DATE(2021,12,31),'DATA INPUT'!$B$3:$B$3000,$B59)),(SUMIFS('DATA INPUT'!$D$3:$D$3000,'DATA INPUT'!$A$3:$A$3000,"&gt;="&amp;DATE(2021,1,1),'DATA INPUT'!$A$3:$A$3000,"&lt;="&amp;DATE(2021,12,31),'DATA INPUT'!$B$3:$B$3000,$B59,'DATA INPUT'!$F$3:$F$3000,"&lt;&gt;*Exclude*"))/(COUNTIFS('DATA INPUT'!$A$3:$A$3000,"&gt;="&amp;DATE(2021,1,1),'DATA INPUT'!$A$3:$A$3000,"&lt;="&amp;DATE(2021,12,31),'DATA INPUT'!$B$3:$B$3000,$B59,'DATA INPUT'!$F$3:$F$3000,"&lt;&gt;*Exclude*")))</f>
        <v>#DIV/0!</v>
      </c>
      <c r="H59" s="58" t="e">
        <f>IF($L$2="Yes",(SUMIFS('DATA INPUT'!$D$3:$D$3000,'DATA INPUT'!$A$3:$A$3000,"&gt;="&amp;DATE(2022,1,1),'DATA INPUT'!$A$3:$A$3000,"&lt;="&amp;DATE(2022,12,31),'DATA INPUT'!$B$3:$B$3000,$B59))/(COUNTIFS('DATA INPUT'!$A$3:$A$3000,"&gt;="&amp;DATE(2022,1,1),'DATA INPUT'!$A$3:$A$3000,"&lt;="&amp;DATE(2022,12,31),'DATA INPUT'!$B$3:$B$3000,$B59)),(SUMIFS('DATA INPUT'!$D$3:$D$3000,'DATA INPUT'!$A$3:$A$3000,"&gt;="&amp;DATE(2022,1,1),'DATA INPUT'!$A$3:$A$3000,"&lt;="&amp;DATE(2022,12,31),'DATA INPUT'!$B$3:$B$3000,$B59,'DATA INPUT'!$F$3:$F$3000,"&lt;&gt;*Exclude*"))/(COUNTIFS('DATA INPUT'!$A$3:$A$3000,"&gt;="&amp;DATE(2022,1,1),'DATA INPUT'!$A$3:$A$3000,"&lt;="&amp;DATE(2022,12,31),'DATA INPUT'!$B$3:$B$3000,$B59,'DATA INPUT'!$F$3:$F$3000,"&lt;&gt;*Exclude*")))</f>
        <v>#DIV/0!</v>
      </c>
      <c r="I59" s="58" t="e">
        <f>IF($L$2="Yes",(SUMIFS('DATA INPUT'!$D$3:$D$3000,'DATA INPUT'!$A$3:$A$3000,"&gt;="&amp;DATE(2023,1,1),'DATA INPUT'!$A$3:$A$3000,"&lt;="&amp;DATE(2023,12,31),'DATA INPUT'!$B$3:$B$3000,$B59))/(COUNTIFS('DATA INPUT'!$A$3:$A$3000,"&gt;="&amp;DATE(2023,1,1),'DATA INPUT'!$A$3:$A$3000,"&lt;="&amp;DATE(2023,12,31),'DATA INPUT'!$B$3:$B$3000,$B59)),(SUMIFS('DATA INPUT'!$D$3:$D$3000,'DATA INPUT'!$A$3:$A$3000,"&gt;="&amp;DATE(2023,1,1),'DATA INPUT'!$A$3:$A$3000,"&lt;="&amp;DATE(2023,12,31),'DATA INPUT'!$B$3:$B$3000,$B59,'DATA INPUT'!$F$3:$F$3000,"&lt;&gt;*Exclude*"))/(COUNTIFS('DATA INPUT'!$A$3:$A$3000,"&gt;="&amp;DATE(2023,1,1),'DATA INPUT'!$A$3:$A$3000,"&lt;="&amp;DATE(2023,12,31),'DATA INPUT'!$B$3:$B$3000,$B59,'DATA INPUT'!$F$3:$F$3000,"&lt;&gt;*Exclude*")))</f>
        <v>#DIV/0!</v>
      </c>
      <c r="J59" s="58" t="e">
        <f>IF($L$2="Yes",(SUMIFS('DATA INPUT'!$D$3:$D$3000,'DATA INPUT'!$A$3:$A$3000,"&gt;="&amp;DATE(2024,1,1),'DATA INPUT'!$A$3:$A$3000,"&lt;="&amp;DATE(2024,12,31),'DATA INPUT'!$B$3:$B$3000,$B59))/(COUNTIFS('DATA INPUT'!$A$3:$A$3000,"&gt;="&amp;DATE(2024,1,1),'DATA INPUT'!$A$3:$A$3000,"&lt;="&amp;DATE(2024,12,31),'DATA INPUT'!$B$3:$B$3000,$B59)),(SUMIFS('DATA INPUT'!$D$3:$D$3000,'DATA INPUT'!$A$3:$A$3000,"&gt;="&amp;DATE(2024,1,1),'DATA INPUT'!$A$3:$A$3000,"&lt;="&amp;DATE(2024,12,31),'DATA INPUT'!$B$3:$B$3000,$B59,'DATA INPUT'!$F$3:$F$3000,"&lt;&gt;*Exclude*"))/(COUNTIFS('DATA INPUT'!$A$3:$A$3000,"&gt;="&amp;DATE(2024,1,1),'DATA INPUT'!$A$3:$A$3000,"&lt;="&amp;DATE(2024,12,31),'DATA INPUT'!$B$3:$B$3000,$B59,'DATA INPUT'!$F$3:$F$3000,"&lt;&gt;*Exclude*")))</f>
        <v>#DIV/0!</v>
      </c>
      <c r="K59" s="58" t="e">
        <f>IF($L$2="Yes",(SUMIFS('DATA INPUT'!$D$3:$D$3000,'DATA INPUT'!$A$3:$A$3000,"&gt;="&amp;DATE(2025,1,1),'DATA INPUT'!$A$3:$A$3000,"&lt;="&amp;DATE(2025,12,31),'DATA INPUT'!$B$3:$B$3000,$B59))/(COUNTIFS('DATA INPUT'!$A$3:$A$3000,"&gt;="&amp;DATE(2025,1,1),'DATA INPUT'!$A$3:$A$3000,"&lt;="&amp;DATE(2025,12,31),'DATA INPUT'!$B$3:$B$3000,$B59)),(SUMIFS('DATA INPUT'!$D$3:$D$3000,'DATA INPUT'!$A$3:$A$3000,"&gt;="&amp;DATE(2025,1,1),'DATA INPUT'!$A$3:$A$3000,"&lt;="&amp;DATE(2025,12,31),'DATA INPUT'!$B$3:$B$3000,$B59,'DATA INPUT'!$F$3:$F$3000,"&lt;&gt;*Exclude*"))/(COUNTIFS('DATA INPUT'!$A$3:$A$3000,"&gt;="&amp;DATE(2025,1,1),'DATA INPUT'!$A$3:$A$3000,"&lt;="&amp;DATE(2025,12,31),'DATA INPUT'!$B$3:$B$3000,$B59,'DATA INPUT'!$F$3:$F$3000,"&lt;&gt;*Exclude*")))</f>
        <v>#DIV/0!</v>
      </c>
      <c r="L59" s="72" t="str">
        <f t="shared" si="20"/>
        <v/>
      </c>
      <c r="Y59" s="149"/>
      <c r="Z59" s="149" t="s">
        <v>20</v>
      </c>
      <c r="AA59" s="136" t="e">
        <f>IF($L$2="Yes",IF(SUMIFS('DATA INPUT'!$E$3:$E$3000,'DATA INPUT'!$B$3:$B$3000,'Report Tables'!AA$1,'DATA INPUT'!$A$3:$A$3000,"&gt;="&amp;DATE(2021,9,1),'DATA INPUT'!$A$3:$A$3000,"&lt;"&amp;DATE(2021,9,31))=0,#N/A,(SUMIFS('DATA INPUT'!$E$3:$E$3000,'DATA INPUT'!$B$3:$B$3000,'Report Tables'!AA$1,'DATA INPUT'!$A$3:$A$3000,"&gt;="&amp;DATE(2021,9,1),'DATA INPUT'!$A$3:$A$3000,"&lt;"&amp;DATE(2021,9,31)))),IF(SUMIFS('DATA INPUT'!$E$3:$E$3000,'DATA INPUT'!$B$3:$B$3000,'Report Tables'!AA$1,'DATA INPUT'!$A$3:$A$3000,"&gt;="&amp;DATE(2021,9,1),'DATA INPUT'!$A$3:$A$3000,"&lt;"&amp;DATE(2021,9,31),'DATA INPUT'!$F$3:$F$3000,"&lt;&gt;*Exclude*")=0,#N/A,(SUMIFS('DATA INPUT'!$E$3:$E$3000,'DATA INPUT'!$B$3:$B$3000,'Report Tables'!AA$1,'DATA INPUT'!$A$3:$A$3000,"&gt;="&amp;DATE(2021,9,1),'DATA INPUT'!$A$3:$A$3000,"&lt;"&amp;DATE(2021,9,31),'DATA INPUT'!$F$3:$F$3000,"&lt;&gt;*Exclude*"))))</f>
        <v>#N/A</v>
      </c>
      <c r="AB59" s="136" t="e">
        <f>IF($L$2="Yes",IF(SUMIFS('DATA INPUT'!$E$3:$E$3000,'DATA INPUT'!$B$3:$B$3000,'Report Tables'!AB$1,'DATA INPUT'!$A$3:$A$3000,"&gt;="&amp;DATE(2021,9,1),'DATA INPUT'!$A$3:$A$3000,"&lt;"&amp;DATE(2021,9,31))=0,#N/A,(SUMIFS('DATA INPUT'!$E$3:$E$3000,'DATA INPUT'!$B$3:$B$3000,'Report Tables'!AB$1,'DATA INPUT'!$A$3:$A$3000,"&gt;="&amp;DATE(2021,9,1),'DATA INPUT'!$A$3:$A$3000,"&lt;"&amp;DATE(2021,9,31)))),IF(SUMIFS('DATA INPUT'!$E$3:$E$3000,'DATA INPUT'!$B$3:$B$3000,'Report Tables'!AB$1,'DATA INPUT'!$A$3:$A$3000,"&gt;="&amp;DATE(2021,9,1),'DATA INPUT'!$A$3:$A$3000,"&lt;"&amp;DATE(2021,9,31),'DATA INPUT'!$F$3:$F$3000,"&lt;&gt;*Exclude*")=0,#N/A,(SUMIFS('DATA INPUT'!$E$3:$E$3000,'DATA INPUT'!$B$3:$B$3000,'Report Tables'!AB$1,'DATA INPUT'!$A$3:$A$3000,"&gt;="&amp;DATE(2021,9,1),'DATA INPUT'!$A$3:$A$3000,"&lt;"&amp;DATE(2021,9,31),'DATA INPUT'!$F$3:$F$3000,"&lt;&gt;*Exclude*"))))</f>
        <v>#N/A</v>
      </c>
      <c r="AC59" s="136" t="e">
        <f>IF($L$2="Yes",IF(SUMIFS('DATA INPUT'!$E$3:$E$3000,'DATA INPUT'!$B$3:$B$3000,'Report Tables'!AC$1,'DATA INPUT'!$A$3:$A$3000,"&gt;="&amp;DATE(2021,9,1),'DATA INPUT'!$A$3:$A$3000,"&lt;"&amp;DATE(2021,9,31))=0,#N/A,(SUMIFS('DATA INPUT'!$E$3:$E$3000,'DATA INPUT'!$B$3:$B$3000,'Report Tables'!AC$1,'DATA INPUT'!$A$3:$A$3000,"&gt;="&amp;DATE(2021,9,1),'DATA INPUT'!$A$3:$A$3000,"&lt;"&amp;DATE(2021,9,31)))),IF(SUMIFS('DATA INPUT'!$E$3:$E$3000,'DATA INPUT'!$B$3:$B$3000,'Report Tables'!AC$1,'DATA INPUT'!$A$3:$A$3000,"&gt;="&amp;DATE(2021,9,1),'DATA INPUT'!$A$3:$A$3000,"&lt;"&amp;DATE(2021,9,31),'DATA INPUT'!$F$3:$F$3000,"&lt;&gt;*Exclude*")=0,#N/A,(SUMIFS('DATA INPUT'!$E$3:$E$3000,'DATA INPUT'!$B$3:$B$3000,'Report Tables'!AC$1,'DATA INPUT'!$A$3:$A$3000,"&gt;="&amp;DATE(2021,9,1),'DATA INPUT'!$A$3:$A$3000,"&lt;"&amp;DATE(2021,9,31),'DATA INPUT'!$F$3:$F$3000,"&lt;&gt;*Exclude*"))))</f>
        <v>#N/A</v>
      </c>
      <c r="AD59" s="136" t="e">
        <f>IF($L$2="Yes",IF(SUMIFS('DATA INPUT'!$E$3:$E$3000,'DATA INPUT'!$B$3:$B$3000,'Report Tables'!AD$1,'DATA INPUT'!$A$3:$A$3000,"&gt;="&amp;DATE(2021,9,1),'DATA INPUT'!$A$3:$A$3000,"&lt;"&amp;DATE(2021,9,31))=0,#N/A,(SUMIFS('DATA INPUT'!$E$3:$E$3000,'DATA INPUT'!$B$3:$B$3000,'Report Tables'!AD$1,'DATA INPUT'!$A$3:$A$3000,"&gt;="&amp;DATE(2021,9,1),'DATA INPUT'!$A$3:$A$3000,"&lt;"&amp;DATE(2021,9,31)))),IF(SUMIFS('DATA INPUT'!$E$3:$E$3000,'DATA INPUT'!$B$3:$B$3000,'Report Tables'!AD$1,'DATA INPUT'!$A$3:$A$3000,"&gt;="&amp;DATE(2021,9,1),'DATA INPUT'!$A$3:$A$3000,"&lt;"&amp;DATE(2021,9,31),'DATA INPUT'!$F$3:$F$3000,"&lt;&gt;*Exclude*")=0,#N/A,(SUMIFS('DATA INPUT'!$E$3:$E$3000,'DATA INPUT'!$B$3:$B$3000,'Report Tables'!AD$1,'DATA INPUT'!$A$3:$A$3000,"&gt;="&amp;DATE(2021,9,1),'DATA INPUT'!$A$3:$A$3000,"&lt;"&amp;DATE(2021,9,31),'DATA INPUT'!$F$3:$F$3000,"&lt;&gt;*Exclude*"))))</f>
        <v>#N/A</v>
      </c>
      <c r="AE59" s="136" t="e">
        <f>IF($L$2="Yes",IF(SUMIFS('DATA INPUT'!$E$3:$E$3000,'DATA INPUT'!$B$3:$B$3000,'Report Tables'!AE$1,'DATA INPUT'!$A$3:$A$3000,"&gt;="&amp;DATE(2021,9,1),'DATA INPUT'!$A$3:$A$3000,"&lt;"&amp;DATE(2021,9,31))=0,#N/A,(SUMIFS('DATA INPUT'!$E$3:$E$3000,'DATA INPUT'!$B$3:$B$3000,'Report Tables'!AE$1,'DATA INPUT'!$A$3:$A$3000,"&gt;="&amp;DATE(2021,9,1),'DATA INPUT'!$A$3:$A$3000,"&lt;"&amp;DATE(2021,9,31)))),IF(SUMIFS('DATA INPUT'!$E$3:$E$3000,'DATA INPUT'!$B$3:$B$3000,'Report Tables'!AE$1,'DATA INPUT'!$A$3:$A$3000,"&gt;="&amp;DATE(2021,9,1),'DATA INPUT'!$A$3:$A$3000,"&lt;"&amp;DATE(2021,9,31),'DATA INPUT'!$F$3:$F$3000,"&lt;&gt;*Exclude*")=0,#N/A,(SUMIFS('DATA INPUT'!$E$3:$E$3000,'DATA INPUT'!$B$3:$B$3000,'Report Tables'!AE$1,'DATA INPUT'!$A$3:$A$3000,"&gt;="&amp;DATE(2021,9,1),'DATA INPUT'!$A$3:$A$3000,"&lt;"&amp;DATE(2021,9,31),'DATA INPUT'!$F$3:$F$3000,"&lt;&gt;*Exclude*"))))</f>
        <v>#N/A</v>
      </c>
      <c r="AF59" s="136" t="e">
        <f>IF($L$2="Yes",IF(SUMIFS('DATA INPUT'!$E$3:$E$3000,'DATA INPUT'!$B$3:$B$3000,'Report Tables'!AF$1,'DATA INPUT'!$A$3:$A$3000,"&gt;="&amp;DATE(2021,9,1),'DATA INPUT'!$A$3:$A$3000,"&lt;"&amp;DATE(2021,9,31))=0,#N/A,(SUMIFS('DATA INPUT'!$E$3:$E$3000,'DATA INPUT'!$B$3:$B$3000,'Report Tables'!AF$1,'DATA INPUT'!$A$3:$A$3000,"&gt;="&amp;DATE(2021,9,1),'DATA INPUT'!$A$3:$A$3000,"&lt;"&amp;DATE(2021,9,31)))),IF(SUMIFS('DATA INPUT'!$E$3:$E$3000,'DATA INPUT'!$B$3:$B$3000,'Report Tables'!AF$1,'DATA INPUT'!$A$3:$A$3000,"&gt;="&amp;DATE(2021,9,1),'DATA INPUT'!$A$3:$A$3000,"&lt;"&amp;DATE(2021,9,31),'DATA INPUT'!$F$3:$F$3000,"&lt;&gt;*Exclude*")=0,#N/A,(SUMIFS('DATA INPUT'!$E$3:$E$3000,'DATA INPUT'!$B$3:$B$3000,'Report Tables'!AF$1,'DATA INPUT'!$A$3:$A$3000,"&gt;="&amp;DATE(2021,9,1),'DATA INPUT'!$A$3:$A$3000,"&lt;"&amp;DATE(2021,9,31),'DATA INPUT'!$F$3:$F$3000,"&lt;&gt;*Exclude*"))))</f>
        <v>#N/A</v>
      </c>
      <c r="AG59" s="136" t="e">
        <f>IF($L$2="Yes",IF(SUMIFS('DATA INPUT'!$E$3:$E$3000,'DATA INPUT'!$B$3:$B$3000,'Report Tables'!AG$1,'DATA INPUT'!$A$3:$A$3000,"&gt;="&amp;DATE(2021,9,1),'DATA INPUT'!$A$3:$A$3000,"&lt;"&amp;DATE(2021,9,31))=0,#N/A,(SUMIFS('DATA INPUT'!$E$3:$E$3000,'DATA INPUT'!$B$3:$B$3000,'Report Tables'!AG$1,'DATA INPUT'!$A$3:$A$3000,"&gt;="&amp;DATE(2021,9,1),'DATA INPUT'!$A$3:$A$3000,"&lt;"&amp;DATE(2021,9,31)))),IF(SUMIFS('DATA INPUT'!$E$3:$E$3000,'DATA INPUT'!$B$3:$B$3000,'Report Tables'!AG$1,'DATA INPUT'!$A$3:$A$3000,"&gt;="&amp;DATE(2021,9,1),'DATA INPUT'!$A$3:$A$3000,"&lt;"&amp;DATE(2021,9,31),'DATA INPUT'!$F$3:$F$3000,"&lt;&gt;*Exclude*")=0,#N/A,(SUMIFS('DATA INPUT'!$E$3:$E$3000,'DATA INPUT'!$B$3:$B$3000,'Report Tables'!AG$1,'DATA INPUT'!$A$3:$A$3000,"&gt;="&amp;DATE(2021,9,1),'DATA INPUT'!$A$3:$A$3000,"&lt;"&amp;DATE(2021,9,31),'DATA INPUT'!$F$3:$F$3000,"&lt;&gt;*Exclude*"))))</f>
        <v>#N/A</v>
      </c>
      <c r="AH59" s="136" t="e">
        <f>IF($L$2="Yes",IF(SUMIFS('DATA INPUT'!$E$3:$E$3000,'DATA INPUT'!$B$3:$B$3000,'Report Tables'!AH$1,'DATA INPUT'!$A$3:$A$3000,"&gt;="&amp;DATE(2021,9,1),'DATA INPUT'!$A$3:$A$3000,"&lt;"&amp;DATE(2021,9,31))=0,#N/A,(SUMIFS('DATA INPUT'!$E$3:$E$3000,'DATA INPUT'!$B$3:$B$3000,'Report Tables'!AH$1,'DATA INPUT'!$A$3:$A$3000,"&gt;="&amp;DATE(2021,9,1),'DATA INPUT'!$A$3:$A$3000,"&lt;"&amp;DATE(2021,9,31)))),IF(SUMIFS('DATA INPUT'!$E$3:$E$3000,'DATA INPUT'!$B$3:$B$3000,'Report Tables'!AH$1,'DATA INPUT'!$A$3:$A$3000,"&gt;="&amp;DATE(2021,9,1),'DATA INPUT'!$A$3:$A$3000,"&lt;"&amp;DATE(2021,9,31),'DATA INPUT'!$F$3:$F$3000,"&lt;&gt;*Exclude*")=0,#N/A,(SUMIFS('DATA INPUT'!$E$3:$E$3000,'DATA INPUT'!$B$3:$B$3000,'Report Tables'!AH$1,'DATA INPUT'!$A$3:$A$3000,"&gt;="&amp;DATE(2021,9,1),'DATA INPUT'!$A$3:$A$3000,"&lt;"&amp;DATE(2021,9,31),'DATA INPUT'!$F$3:$F$3000,"&lt;&gt;*Exclude*"))))</f>
        <v>#N/A</v>
      </c>
      <c r="AI59" s="136" t="e">
        <f t="shared" si="0"/>
        <v>#N/A</v>
      </c>
      <c r="AJ59" s="136" t="e">
        <f>IF($L$2="Yes",IF(SUMIFS('DATA INPUT'!$D$3:$D$3000,'DATA INPUT'!$A$3:$A$3000,"&gt;="&amp;DATE(2021,9,1),'DATA INPUT'!$A$3:$A$3000,"&lt;"&amp;DATE(2021,9,31),'DATA INPUT'!$G$3:$G$3000,"&lt;&gt;*School service*")=0,#N/A,(SUMIFS('DATA INPUT'!$D$3:$D$3000,'DATA INPUT'!$A$3:$A$3000,"&gt;="&amp;DATE(2021,9,1),'DATA INPUT'!$A$3:$A$3000,"&lt;"&amp;DATE(2021,9,31),'DATA INPUT'!$G$3:$G$3000,"&lt;&gt;*School service*"))),IF(SUMIFS('DATA INPUT'!$D$3:$D$3000,'DATA INPUT'!$A$3:$A$3000,"&gt;="&amp;DATE(2021,9,1),'DATA INPUT'!$A$3:$A$3000,"&lt;"&amp;DATE(2021,9,31),'DATA INPUT'!$F$3:$F$3000,"&lt;&gt;*Exclude*",'DATA INPUT'!$G$3:$G$3000,"&lt;&gt;*School service*")=0,#N/A,(SUMIFS('DATA INPUT'!$D$3:$D$3000,'DATA INPUT'!$A$3:$A$3000,"&gt;="&amp;DATE(2021,9,1),'DATA INPUT'!$A$3:$A$3000,"&lt;"&amp;DATE(2021,9,31),'DATA INPUT'!$F$3:$F$3000,"&lt;&gt;*Exclude*",'DATA INPUT'!$G$3:$G$3000,"&lt;&gt;*School service*"))))</f>
        <v>#N/A</v>
      </c>
      <c r="AK59" s="136" t="e">
        <f>AI59-AJ59</f>
        <v>#N/A</v>
      </c>
      <c r="AM59" s="117" t="e">
        <f>IF($L$2="Yes",IFERROR((SUMIFS('DATA INPUT'!$E$3:$E$3000,'DATA INPUT'!$B$3:$B$3000,'Report Tables'!AM$1,'DATA INPUT'!$A$3:$A$3000,"&gt;="&amp;DATE(2021,9,1),'DATA INPUT'!$A$3:$A$3000,"&lt;"&amp;DATE(2021,9,31)))/COUNTIFS('DATA INPUT'!$B$3:$B$3000,'Report Tables'!AM$1,'DATA INPUT'!$A$3:$A$3000,"&gt;="&amp;DATE(2021,9,1),'DATA INPUT'!$A$3:$A$3000,"&lt;"&amp;DATE(2021,9,31)),#N/A),IFERROR((SUMIFS('DATA INPUT'!$E$3:$E$3000,'DATA INPUT'!$B$3:$B$3000,'Report Tables'!AM$1,'DATA INPUT'!$A$3:$A$3000,"&gt;="&amp;DATE(2021,9,1),'DATA INPUT'!$A$3:$A$3000,"&lt;"&amp;DATE(2021,9,31),'DATA INPUT'!$F$3:$F$3000,"&lt;&gt;*Exclude*"))/(COUNTIFS('DATA INPUT'!$B$3:$B$3000,'Report Tables'!AM$1,'DATA INPUT'!$A$3:$A$3000,"&gt;="&amp;DATE(2021,9,1),'DATA INPUT'!$A$3:$A$3000,"&lt;"&amp;DATE(2021,9,31),'DATA INPUT'!$F$3:$F$3000,"&lt;&gt;*Exclude*")),#N/A))</f>
        <v>#N/A</v>
      </c>
      <c r="AN59" s="117" t="e">
        <f>IF($L$2="Yes",IFERROR((SUMIFS('DATA INPUT'!$E$3:$E$3000,'DATA INPUT'!$B$3:$B$3000,'Report Tables'!AN$1,'DATA INPUT'!$A$3:$A$3000,"&gt;="&amp;DATE(2021,9,1),'DATA INPUT'!$A$3:$A$3000,"&lt;"&amp;DATE(2021,9,31)))/COUNTIFS('DATA INPUT'!$B$3:$B$3000,'Report Tables'!AN$1,'DATA INPUT'!$A$3:$A$3000,"&gt;="&amp;DATE(2021,9,1),'DATA INPUT'!$A$3:$A$3000,"&lt;"&amp;DATE(2021,9,31)),#N/A),IFERROR((SUMIFS('DATA INPUT'!$E$3:$E$3000,'DATA INPUT'!$B$3:$B$3000,'Report Tables'!AN$1,'DATA INPUT'!$A$3:$A$3000,"&gt;="&amp;DATE(2021,9,1),'DATA INPUT'!$A$3:$A$3000,"&lt;"&amp;DATE(2021,9,31),'DATA INPUT'!$F$3:$F$3000,"&lt;&gt;*Exclude*"))/(COUNTIFS('DATA INPUT'!$B$3:$B$3000,'Report Tables'!AN$1,'DATA INPUT'!$A$3:$A$3000,"&gt;="&amp;DATE(2021,9,1),'DATA INPUT'!$A$3:$A$3000,"&lt;"&amp;DATE(2021,9,31),'DATA INPUT'!$F$3:$F$3000,"&lt;&gt;*Exclude*")),#N/A))</f>
        <v>#N/A</v>
      </c>
      <c r="AO59" s="117" t="e">
        <f>IF($L$2="Yes",IFERROR((SUMIFS('DATA INPUT'!$E$3:$E$3000,'DATA INPUT'!$B$3:$B$3000,'Report Tables'!AO$1,'DATA INPUT'!$A$3:$A$3000,"&gt;="&amp;DATE(2021,9,1),'DATA INPUT'!$A$3:$A$3000,"&lt;"&amp;DATE(2021,9,31)))/COUNTIFS('DATA INPUT'!$B$3:$B$3000,'Report Tables'!AO$1,'DATA INPUT'!$A$3:$A$3000,"&gt;="&amp;DATE(2021,9,1),'DATA INPUT'!$A$3:$A$3000,"&lt;"&amp;DATE(2021,9,31)),#N/A),IFERROR((SUMIFS('DATA INPUT'!$E$3:$E$3000,'DATA INPUT'!$B$3:$B$3000,'Report Tables'!AO$1,'DATA INPUT'!$A$3:$A$3000,"&gt;="&amp;DATE(2021,9,1),'DATA INPUT'!$A$3:$A$3000,"&lt;"&amp;DATE(2021,9,31),'DATA INPUT'!$F$3:$F$3000,"&lt;&gt;*Exclude*"))/(COUNTIFS('DATA INPUT'!$B$3:$B$3000,'Report Tables'!AO$1,'DATA INPUT'!$A$3:$A$3000,"&gt;="&amp;DATE(2021,9,1),'DATA INPUT'!$A$3:$A$3000,"&lt;"&amp;DATE(2021,9,31),'DATA INPUT'!$F$3:$F$3000,"&lt;&gt;*Exclude*")),#N/A))</f>
        <v>#N/A</v>
      </c>
      <c r="AP59" s="117" t="e">
        <f>IF($L$2="Yes",IFERROR((SUMIFS('DATA INPUT'!$E$3:$E$3000,'DATA INPUT'!$B$3:$B$3000,'Report Tables'!AP$1,'DATA INPUT'!$A$3:$A$3000,"&gt;="&amp;DATE(2021,9,1),'DATA INPUT'!$A$3:$A$3000,"&lt;"&amp;DATE(2021,9,31)))/COUNTIFS('DATA INPUT'!$B$3:$B$3000,'Report Tables'!AP$1,'DATA INPUT'!$A$3:$A$3000,"&gt;="&amp;DATE(2021,9,1),'DATA INPUT'!$A$3:$A$3000,"&lt;"&amp;DATE(2021,9,31)),#N/A),IFERROR((SUMIFS('DATA INPUT'!$E$3:$E$3000,'DATA INPUT'!$B$3:$B$3000,'Report Tables'!AP$1,'DATA INPUT'!$A$3:$A$3000,"&gt;="&amp;DATE(2021,9,1),'DATA INPUT'!$A$3:$A$3000,"&lt;"&amp;DATE(2021,9,31),'DATA INPUT'!$F$3:$F$3000,"&lt;&gt;*Exclude*"))/(COUNTIFS('DATA INPUT'!$B$3:$B$3000,'Report Tables'!AP$1,'DATA INPUT'!$A$3:$A$3000,"&gt;="&amp;DATE(2021,9,1),'DATA INPUT'!$A$3:$A$3000,"&lt;"&amp;DATE(2021,9,31),'DATA INPUT'!$F$3:$F$3000,"&lt;&gt;*Exclude*")),#N/A))</f>
        <v>#N/A</v>
      </c>
      <c r="AQ59" s="117" t="e">
        <f>IF($L$2="Yes",IFERROR((SUMIFS('DATA INPUT'!$E$3:$E$3000,'DATA INPUT'!$B$3:$B$3000,'Report Tables'!AQ$1,'DATA INPUT'!$A$3:$A$3000,"&gt;="&amp;DATE(2021,9,1),'DATA INPUT'!$A$3:$A$3000,"&lt;"&amp;DATE(2021,9,31)))/COUNTIFS('DATA INPUT'!$B$3:$B$3000,'Report Tables'!AQ$1,'DATA INPUT'!$A$3:$A$3000,"&gt;="&amp;DATE(2021,9,1),'DATA INPUT'!$A$3:$A$3000,"&lt;"&amp;DATE(2021,9,31)),#N/A),IFERROR((SUMIFS('DATA INPUT'!$E$3:$E$3000,'DATA INPUT'!$B$3:$B$3000,'Report Tables'!AQ$1,'DATA INPUT'!$A$3:$A$3000,"&gt;="&amp;DATE(2021,9,1),'DATA INPUT'!$A$3:$A$3000,"&lt;"&amp;DATE(2021,9,31),'DATA INPUT'!$F$3:$F$3000,"&lt;&gt;*Exclude*"))/(COUNTIFS('DATA INPUT'!$B$3:$B$3000,'Report Tables'!AQ$1,'DATA INPUT'!$A$3:$A$3000,"&gt;="&amp;DATE(2021,9,1),'DATA INPUT'!$A$3:$A$3000,"&lt;"&amp;DATE(2021,9,31),'DATA INPUT'!$F$3:$F$3000,"&lt;&gt;*Exclude*")),#N/A))</f>
        <v>#N/A</v>
      </c>
      <c r="AR59" s="117" t="e">
        <f>IF($L$2="Yes",IFERROR((SUMIFS('DATA INPUT'!$E$3:$E$3000,'DATA INPUT'!$B$3:$B$3000,'Report Tables'!AR$1,'DATA INPUT'!$A$3:$A$3000,"&gt;="&amp;DATE(2021,9,1),'DATA INPUT'!$A$3:$A$3000,"&lt;"&amp;DATE(2021,9,31)))/COUNTIFS('DATA INPUT'!$B$3:$B$3000,'Report Tables'!AR$1,'DATA INPUT'!$A$3:$A$3000,"&gt;="&amp;DATE(2021,9,1),'DATA INPUT'!$A$3:$A$3000,"&lt;"&amp;DATE(2021,9,31)),#N/A),IFERROR((SUMIFS('DATA INPUT'!$E$3:$E$3000,'DATA INPUT'!$B$3:$B$3000,'Report Tables'!AR$1,'DATA INPUT'!$A$3:$A$3000,"&gt;="&amp;DATE(2021,9,1),'DATA INPUT'!$A$3:$A$3000,"&lt;"&amp;DATE(2021,9,31),'DATA INPUT'!$F$3:$F$3000,"&lt;&gt;*Exclude*"))/(COUNTIFS('DATA INPUT'!$B$3:$B$3000,'Report Tables'!AR$1,'DATA INPUT'!$A$3:$A$3000,"&gt;="&amp;DATE(2021,9,1),'DATA INPUT'!$A$3:$A$3000,"&lt;"&amp;DATE(2021,9,31),'DATA INPUT'!$F$3:$F$3000,"&lt;&gt;*Exclude*")),#N/A))</f>
        <v>#N/A</v>
      </c>
      <c r="AS59" s="117" t="e">
        <f>IF($L$2="Yes",IFERROR((SUMIFS('DATA INPUT'!$E$3:$E$3000,'DATA INPUT'!$B$3:$B$3000,'Report Tables'!AS$1,'DATA INPUT'!$A$3:$A$3000,"&gt;="&amp;DATE(2021,9,1),'DATA INPUT'!$A$3:$A$3000,"&lt;"&amp;DATE(2021,9,31)))/COUNTIFS('DATA INPUT'!$B$3:$B$3000,'Report Tables'!AS$1,'DATA INPUT'!$A$3:$A$3000,"&gt;="&amp;DATE(2021,9,1),'DATA INPUT'!$A$3:$A$3000,"&lt;"&amp;DATE(2021,9,31)),#N/A),IFERROR((SUMIFS('DATA INPUT'!$E$3:$E$3000,'DATA INPUT'!$B$3:$B$3000,'Report Tables'!AS$1,'DATA INPUT'!$A$3:$A$3000,"&gt;="&amp;DATE(2021,9,1),'DATA INPUT'!$A$3:$A$3000,"&lt;"&amp;DATE(2021,9,31),'DATA INPUT'!$F$3:$F$3000,"&lt;&gt;*Exclude*"))/(COUNTIFS('DATA INPUT'!$B$3:$B$3000,'Report Tables'!AS$1,'DATA INPUT'!$A$3:$A$3000,"&gt;="&amp;DATE(2021,9,1),'DATA INPUT'!$A$3:$A$3000,"&lt;"&amp;DATE(2021,9,31),'DATA INPUT'!$F$3:$F$3000,"&lt;&gt;*Exclude*")),#N/A))</f>
        <v>#N/A</v>
      </c>
      <c r="AT59" s="117" t="e">
        <f>IF($L$2="Yes",IFERROR((SUMIFS('DATA INPUT'!$E$3:$E$3000,'DATA INPUT'!$B$3:$B$3000,'Report Tables'!AT$1,'DATA INPUT'!$A$3:$A$3000,"&gt;="&amp;DATE(2021,9,1),'DATA INPUT'!$A$3:$A$3000,"&lt;"&amp;DATE(2021,9,31)))/COUNTIFS('DATA INPUT'!$B$3:$B$3000,'Report Tables'!AT$1,'DATA INPUT'!$A$3:$A$3000,"&gt;="&amp;DATE(2021,9,1),'DATA INPUT'!$A$3:$A$3000,"&lt;"&amp;DATE(2021,9,31)),#N/A),IFERROR((SUMIFS('DATA INPUT'!$E$3:$E$3000,'DATA INPUT'!$B$3:$B$3000,'Report Tables'!AT$1,'DATA INPUT'!$A$3:$A$3000,"&gt;="&amp;DATE(2021,9,1),'DATA INPUT'!$A$3:$A$3000,"&lt;"&amp;DATE(2021,9,31),'DATA INPUT'!$F$3:$F$3000,"&lt;&gt;*Exclude*"))/(COUNTIFS('DATA INPUT'!$B$3:$B$3000,'Report Tables'!AT$1,'DATA INPUT'!$A$3:$A$3000,"&gt;="&amp;DATE(2021,9,1),'DATA INPUT'!$A$3:$A$3000,"&lt;"&amp;DATE(2021,9,31),'DATA INPUT'!$F$3:$F$3000,"&lt;&gt;*Exclude*")),#N/A))</f>
        <v>#N/A</v>
      </c>
      <c r="AU59" s="117" t="e">
        <f t="shared" si="1"/>
        <v>#N/A</v>
      </c>
      <c r="AV59" s="117" t="e">
        <f>IF($L$2="Yes",IFERROR((SUMIFS('DATA INPUT'!$D$3:$D$3000,'DATA INPUT'!$A$3:$A$3000,"&gt;="&amp;DATE(2021,9,1),'DATA INPUT'!$A$3:$A$3000,"&lt;"&amp;DATE(2021,9,31),'DATA INPUT'!$G$3:$G$3000,"&lt;&gt;*School service*"))/COUNTIFS('DATA INPUT'!$A$3:$A$3000,"&gt;="&amp;DATE(2021,9,1),'DATA INPUT'!$A$3:$A$3000,"&lt;"&amp;DATE(2021,9,31),'DATA INPUT'!$G$3:$G$3000,"&lt;&gt;*School service*",'DATA INPUT'!$D$3:$D$3000,"&lt;&gt;"&amp;""),#N/A),IFERROR((SUMIFS('DATA INPUT'!$D$3:$D$3000,'DATA INPUT'!$A$3:$A$3000,"&gt;="&amp;DATE(2021,9,1),'DATA INPUT'!$A$3:$A$3000,"&lt;"&amp;DATE(2021,9,31),'DATA INPUT'!$F$3:$F$3000,"&lt;&gt;*Exclude*",'DATA INPUT'!$G$3:$G$3000,"&lt;&gt;*School service*"))/(COUNTIFS('DATA INPUT'!$A$3:$A$3000,"&gt;="&amp;DATE(2021,9,1),'DATA INPUT'!$A$3:$A$3000,"&lt;"&amp;DATE(2021,9,31),'DATA INPUT'!$F$3:$F$3000,"&lt;&gt;*Exclude*",'DATA INPUT'!$G$3:$G$3000,"&lt;&gt;*School service*",'DATA INPUT'!$D$3:$D$3000,"&lt;&gt;"&amp;"")),#N/A))</f>
        <v>#N/A</v>
      </c>
      <c r="AW59" s="117" t="e">
        <f t="shared" si="2"/>
        <v>#N/A</v>
      </c>
      <c r="AX59" s="117" t="e">
        <f>IF($L$2="Yes",IFERROR((SUMIFS('DATA INPUT'!$E$3:$E$3000,'DATA INPUT'!$B$3:$B$3000,'Report Tables'!AX$1,'DATA INPUT'!$A$3:$A$3000,"&gt;="&amp;DATE(2021,9,1),'DATA INPUT'!$A$3:$A$3000,"&lt;"&amp;DATE(2021,9,31)))/COUNTIFS('DATA INPUT'!$B$3:$B$3000,'Report Tables'!AX$1,'DATA INPUT'!$A$3:$A$3000,"&gt;="&amp;DATE(2021,9,1),'DATA INPUT'!$A$3:$A$3000,"&lt;"&amp;DATE(2021,9,31)),#N/A),IFERROR((SUMIFS('DATA INPUT'!$E$3:$E$3000,'DATA INPUT'!$B$3:$B$3000,'Report Tables'!AX$1,'DATA INPUT'!$A$3:$A$3000,"&gt;="&amp;DATE(2021,9,1),'DATA INPUT'!$A$3:$A$3000,"&lt;"&amp;DATE(2021,9,31),'DATA INPUT'!$F$3:$F$3000,"&lt;&gt;*Exclude*"))/(COUNTIFS('DATA INPUT'!$B$3:$B$3000,'Report Tables'!AX$1,'DATA INPUT'!$A$3:$A$3000,"&gt;="&amp;DATE(2021,9,1),'DATA INPUT'!$A$3:$A$3000,"&lt;"&amp;DATE(2021,9,31),'DATA INPUT'!$F$3:$F$3000,"&lt;&gt;*Exclude*")),#N/A))</f>
        <v>#N/A</v>
      </c>
      <c r="AY59" s="117" t="e">
        <f>IF($L$2="Yes",IFERROR((SUMIFS('DATA INPUT'!$D$3:$D$3000,'DATA INPUT'!$B$3:$B$3000,'Report Tables'!AX$1,'DATA INPUT'!$A$3:$A$3000,"&gt;="&amp;DATE(2021,9,1),'DATA INPUT'!$A$3:$A$3000,"&lt;"&amp;DATE(2021,9,31)))/COUNTIFS('DATA INPUT'!$B$3:$B$3000,'Report Tables'!AX$1,'DATA INPUT'!$A$3:$A$3000,"&gt;="&amp;DATE(2021,9,1),'DATA INPUT'!$A$3:$A$3000,"&lt;"&amp;DATE(2021,9,31)),#N/A),IFERROR((SUMIFS('DATA INPUT'!$D$3:$D$3000,'DATA INPUT'!$B$3:$B$3000,'Report Tables'!AX$1,'DATA INPUT'!$A$3:$A$3000,"&gt;="&amp;DATE(2021,9,1),'DATA INPUT'!$A$3:$A$3000,"&lt;"&amp;DATE(2021,9,31),'DATA INPUT'!$F$3:$F$3000,"&lt;&gt;*Exclude*"))/(COUNTIFS('DATA INPUT'!$B$3:$B$3000,'Report Tables'!AX$1,'DATA INPUT'!$A$3:$A$3000,"&gt;="&amp;DATE(2021,9,1),'DATA INPUT'!$A$3:$A$3000,"&lt;"&amp;DATE(2021,9,31),'DATA INPUT'!$F$3:$F$3000,"&lt;&gt;*Exclude*")),#N/A))</f>
        <v>#N/A</v>
      </c>
      <c r="AZ59" s="117" t="e">
        <f>IF($L$2="Yes",IFERROR((SUMIFS('DATA INPUT'!$C$3:$C$3000,'DATA INPUT'!$B$3:$B$3000,'Report Tables'!AX$1,'DATA INPUT'!$A$3:$A$3000,"&gt;="&amp;DATE(2021,9,1),'DATA INPUT'!$A$3:$A$3000,"&lt;"&amp;DATE(2021,9,31)))/COUNTIFS('DATA INPUT'!$B$3:$B$3000,'Report Tables'!AX$1,'DATA INPUT'!$A$3:$A$3000,"&gt;="&amp;DATE(2021,9,1),'DATA INPUT'!$A$3:$A$3000,"&lt;"&amp;DATE(2021,9,31)),#N/A),IFERROR((SUMIFS('DATA INPUT'!$C$3:$C$3000,'DATA INPUT'!$B$3:$B$3000,'Report Tables'!AX$1,'DATA INPUT'!$A$3:$A$3000,"&gt;="&amp;DATE(2021,9,1),'DATA INPUT'!$A$3:$A$3000,"&lt;"&amp;DATE(2021,9,31),'DATA INPUT'!$F$3:$F$3000,"&lt;&gt;*Exclude*"))/(COUNTIFS('DATA INPUT'!$B$3:$B$3000,'Report Tables'!AX$1,'DATA INPUT'!$A$3:$A$3000,"&gt;="&amp;DATE(2021,9,1),'DATA INPUT'!$A$3:$A$3000,"&lt;"&amp;DATE(2021,9,31),'DATA INPUT'!$F$3:$F$3000,"&lt;&gt;*Exclude*")),#N/A))</f>
        <v>#N/A</v>
      </c>
    </row>
    <row r="60" spans="1:52" ht="15" thickBot="1" x14ac:dyDescent="0.35">
      <c r="A60" s="95" t="e">
        <f>VLOOKUP(B60,Information!$C$8:$F$15,4,FALSE)</f>
        <v>#N/A</v>
      </c>
      <c r="B60" s="53">
        <f>$B$12</f>
        <v>0</v>
      </c>
      <c r="C60" s="58" t="e">
        <f>IF($L$2="Yes",(SUMIFS('DATA INPUT'!$D$3:$D$3000,'DATA INPUT'!$A$3:$A$3000,"&gt;="&amp;DATE(2017,1,1),'DATA INPUT'!$A$3:$A$3000,"&lt;="&amp;DATE(2017,12,31),'DATA INPUT'!$B$3:$B$3000,$B60))/(COUNTIFS('DATA INPUT'!$A$3:$A$3000,"&gt;="&amp;DATE(2017,1,1),'DATA INPUT'!$A$3:$A$3000,"&lt;="&amp;DATE(2017,12,31),'DATA INPUT'!$B$3:$B$3000,$B60)),(SUMIFS('DATA INPUT'!$D$3:$D$3000,'DATA INPUT'!$A$3:$A$3000,"&gt;="&amp;DATE(2017,1,1),'DATA INPUT'!$A$3:$A$3000,"&lt;="&amp;DATE(2017,12,31),'DATA INPUT'!$B$3:$B$3000,$B60,'DATA INPUT'!$F$3:$F$3000,"&lt;&gt;*Exclude*"))/(COUNTIFS('DATA INPUT'!$A$3:$A$3000,"&gt;="&amp;DATE(2017,1,1),'DATA INPUT'!$A$3:$A$3000,"&lt;="&amp;DATE(2017,12,31),'DATA INPUT'!$B$3:$B$3000,$B60,'DATA INPUT'!$F$3:$F$3000,"&lt;&gt;*Exclude*")))</f>
        <v>#DIV/0!</v>
      </c>
      <c r="D60" s="58" t="e">
        <f>IF($L$2="Yes",(SUMIFS('DATA INPUT'!$D$3:$D$3000,'DATA INPUT'!$A$3:$A$3000,"&gt;="&amp;DATE(2018,1,1),'DATA INPUT'!$A$3:$A$3000,"&lt;="&amp;DATE(2018,12,31),'DATA INPUT'!$B$3:$B$3000,$B60))/(COUNTIFS('DATA INPUT'!$A$3:$A$3000,"&gt;="&amp;DATE(2018,1,1),'DATA INPUT'!$A$3:$A$3000,"&lt;="&amp;DATE(2018,12,31),'DATA INPUT'!$B$3:$B$3000,$B60)),(SUMIFS('DATA INPUT'!$D$3:$D$3000,'DATA INPUT'!$A$3:$A$3000,"&gt;="&amp;DATE(2018,1,1),'DATA INPUT'!$A$3:$A$3000,"&lt;="&amp;DATE(2018,12,31),'DATA INPUT'!$B$3:$B$3000,$B60,'DATA INPUT'!$F$3:$F$3000,"&lt;&gt;*Exclude*"))/(COUNTIFS('DATA INPUT'!$A$3:$A$3000,"&gt;="&amp;DATE(2018,1,1),'DATA INPUT'!$A$3:$A$3000,"&lt;="&amp;DATE(2018,12,31),'DATA INPUT'!$B$3:$B$3000,$B60,'DATA INPUT'!$F$3:$F$3000,"&lt;&gt;*Exclude*")))</f>
        <v>#DIV/0!</v>
      </c>
      <c r="E60" s="58" t="e">
        <f>IF($L$2="Yes",(SUMIFS('DATA INPUT'!$D$3:$D$3000,'DATA INPUT'!$A$3:$A$3000,"&gt;="&amp;DATE(2019,1,1),'DATA INPUT'!$A$3:$A$3000,"&lt;="&amp;DATE(2019,12,31),'DATA INPUT'!$B$3:$B$3000,$B60))/(COUNTIFS('DATA INPUT'!$A$3:$A$3000,"&gt;="&amp;DATE(2019,1,1),'DATA INPUT'!$A$3:$A$3000,"&lt;="&amp;DATE(2019,12,31),'DATA INPUT'!$B$3:$B$3000,$B60)),(SUMIFS('DATA INPUT'!$D$3:$D$3000,'DATA INPUT'!$A$3:$A$3000,"&gt;="&amp;DATE(2019,1,1),'DATA INPUT'!$A$3:$A$3000,"&lt;="&amp;DATE(2019,12,31),'DATA INPUT'!$B$3:$B$3000,$B60,'DATA INPUT'!$F$3:$F$3000,"&lt;&gt;*Exclude*"))/(COUNTIFS('DATA INPUT'!$A$3:$A$3000,"&gt;="&amp;DATE(2019,1,1),'DATA INPUT'!$A$3:$A$3000,"&lt;="&amp;DATE(2019,12,31),'DATA INPUT'!$B$3:$B$3000,$B60,'DATA INPUT'!$F$3:$F$3000,"&lt;&gt;*Exclude*")))</f>
        <v>#DIV/0!</v>
      </c>
      <c r="F60" s="58" t="e">
        <f>IF($L$2="Yes",(SUMIFS('DATA INPUT'!$D$3:$D$3000,'DATA INPUT'!$A$3:$A$3000,"&gt;="&amp;DATE(2020,1,1),'DATA INPUT'!$A$3:$A$3000,"&lt;="&amp;DATE(2020,12,31),'DATA INPUT'!$B$3:$B$3000,$B60))/(COUNTIFS('DATA INPUT'!$A$3:$A$3000,"&gt;="&amp;DATE(2020,1,1),'DATA INPUT'!$A$3:$A$3000,"&lt;="&amp;DATE(2020,12,31),'DATA INPUT'!$B$3:$B$3000,$B60)),(SUMIFS('DATA INPUT'!$D$3:$D$3000,'DATA INPUT'!$A$3:$A$3000,"&gt;="&amp;DATE(2020,1,1),'DATA INPUT'!$A$3:$A$3000,"&lt;="&amp;DATE(2020,12,31),'DATA INPUT'!$B$3:$B$3000,$B60,'DATA INPUT'!$F$3:$F$3000,"&lt;&gt;*Exclude*"))/(COUNTIFS('DATA INPUT'!$A$3:$A$3000,"&gt;="&amp;DATE(2020,1,1),'DATA INPUT'!$A$3:$A$3000,"&lt;="&amp;DATE(2020,12,31),'DATA INPUT'!$B$3:$B$3000,$B60,'DATA INPUT'!$F$3:$F$3000,"&lt;&gt;*Exclude*")))</f>
        <v>#DIV/0!</v>
      </c>
      <c r="G60" s="58" t="e">
        <f>IF($L$2="Yes",(SUMIFS('DATA INPUT'!$D$3:$D$3000,'DATA INPUT'!$A$3:$A$3000,"&gt;="&amp;DATE(2021,1,1),'DATA INPUT'!$A$3:$A$3000,"&lt;="&amp;DATE(2021,12,31),'DATA INPUT'!$B$3:$B$3000,$B60))/(COUNTIFS('DATA INPUT'!$A$3:$A$3000,"&gt;="&amp;DATE(2021,1,1),'DATA INPUT'!$A$3:$A$3000,"&lt;="&amp;DATE(2021,12,31),'DATA INPUT'!$B$3:$B$3000,$B60)),(SUMIFS('DATA INPUT'!$D$3:$D$3000,'DATA INPUT'!$A$3:$A$3000,"&gt;="&amp;DATE(2021,1,1),'DATA INPUT'!$A$3:$A$3000,"&lt;="&amp;DATE(2021,12,31),'DATA INPUT'!$B$3:$B$3000,$B60,'DATA INPUT'!$F$3:$F$3000,"&lt;&gt;*Exclude*"))/(COUNTIFS('DATA INPUT'!$A$3:$A$3000,"&gt;="&amp;DATE(2021,1,1),'DATA INPUT'!$A$3:$A$3000,"&lt;="&amp;DATE(2021,12,31),'DATA INPUT'!$B$3:$B$3000,$B60,'DATA INPUT'!$F$3:$F$3000,"&lt;&gt;*Exclude*")))</f>
        <v>#DIV/0!</v>
      </c>
      <c r="H60" s="58" t="e">
        <f>IF($L$2="Yes",(SUMIFS('DATA INPUT'!$D$3:$D$3000,'DATA INPUT'!$A$3:$A$3000,"&gt;="&amp;DATE(2022,1,1),'DATA INPUT'!$A$3:$A$3000,"&lt;="&amp;DATE(2022,12,31),'DATA INPUT'!$B$3:$B$3000,$B60))/(COUNTIFS('DATA INPUT'!$A$3:$A$3000,"&gt;="&amp;DATE(2022,1,1),'DATA INPUT'!$A$3:$A$3000,"&lt;="&amp;DATE(2022,12,31),'DATA INPUT'!$B$3:$B$3000,$B60)),(SUMIFS('DATA INPUT'!$D$3:$D$3000,'DATA INPUT'!$A$3:$A$3000,"&gt;="&amp;DATE(2022,1,1),'DATA INPUT'!$A$3:$A$3000,"&lt;="&amp;DATE(2022,12,31),'DATA INPUT'!$B$3:$B$3000,$B60,'DATA INPUT'!$F$3:$F$3000,"&lt;&gt;*Exclude*"))/(COUNTIFS('DATA INPUT'!$A$3:$A$3000,"&gt;="&amp;DATE(2022,1,1),'DATA INPUT'!$A$3:$A$3000,"&lt;="&amp;DATE(2022,12,31),'DATA INPUT'!$B$3:$B$3000,$B60,'DATA INPUT'!$F$3:$F$3000,"&lt;&gt;*Exclude*")))</f>
        <v>#DIV/0!</v>
      </c>
      <c r="I60" s="58" t="e">
        <f>IF($L$2="Yes",(SUMIFS('DATA INPUT'!$D$3:$D$3000,'DATA INPUT'!$A$3:$A$3000,"&gt;="&amp;DATE(2023,1,1),'DATA INPUT'!$A$3:$A$3000,"&lt;="&amp;DATE(2023,12,31),'DATA INPUT'!$B$3:$B$3000,$B60))/(COUNTIFS('DATA INPUT'!$A$3:$A$3000,"&gt;="&amp;DATE(2023,1,1),'DATA INPUT'!$A$3:$A$3000,"&lt;="&amp;DATE(2023,12,31),'DATA INPUT'!$B$3:$B$3000,$B60)),(SUMIFS('DATA INPUT'!$D$3:$D$3000,'DATA INPUT'!$A$3:$A$3000,"&gt;="&amp;DATE(2023,1,1),'DATA INPUT'!$A$3:$A$3000,"&lt;="&amp;DATE(2023,12,31),'DATA INPUT'!$B$3:$B$3000,$B60,'DATA INPUT'!$F$3:$F$3000,"&lt;&gt;*Exclude*"))/(COUNTIFS('DATA INPUT'!$A$3:$A$3000,"&gt;="&amp;DATE(2023,1,1),'DATA INPUT'!$A$3:$A$3000,"&lt;="&amp;DATE(2023,12,31),'DATA INPUT'!$B$3:$B$3000,$B60,'DATA INPUT'!$F$3:$F$3000,"&lt;&gt;*Exclude*")))</f>
        <v>#DIV/0!</v>
      </c>
      <c r="J60" s="58" t="e">
        <f>IF($L$2="Yes",(SUMIFS('DATA INPUT'!$D$3:$D$3000,'DATA INPUT'!$A$3:$A$3000,"&gt;="&amp;DATE(2024,1,1),'DATA INPUT'!$A$3:$A$3000,"&lt;="&amp;DATE(2024,12,31),'DATA INPUT'!$B$3:$B$3000,$B60))/(COUNTIFS('DATA INPUT'!$A$3:$A$3000,"&gt;="&amp;DATE(2024,1,1),'DATA INPUT'!$A$3:$A$3000,"&lt;="&amp;DATE(2024,12,31),'DATA INPUT'!$B$3:$B$3000,$B60)),(SUMIFS('DATA INPUT'!$D$3:$D$3000,'DATA INPUT'!$A$3:$A$3000,"&gt;="&amp;DATE(2024,1,1),'DATA INPUT'!$A$3:$A$3000,"&lt;="&amp;DATE(2024,12,31),'DATA INPUT'!$B$3:$B$3000,$B60,'DATA INPUT'!$F$3:$F$3000,"&lt;&gt;*Exclude*"))/(COUNTIFS('DATA INPUT'!$A$3:$A$3000,"&gt;="&amp;DATE(2024,1,1),'DATA INPUT'!$A$3:$A$3000,"&lt;="&amp;DATE(2024,12,31),'DATA INPUT'!$B$3:$B$3000,$B60,'DATA INPUT'!$F$3:$F$3000,"&lt;&gt;*Exclude*")))</f>
        <v>#DIV/0!</v>
      </c>
      <c r="K60" s="58" t="e">
        <f>IF($L$2="Yes",(SUMIFS('DATA INPUT'!$D$3:$D$3000,'DATA INPUT'!$A$3:$A$3000,"&gt;="&amp;DATE(2025,1,1),'DATA INPUT'!$A$3:$A$3000,"&lt;="&amp;DATE(2025,12,31),'DATA INPUT'!$B$3:$B$3000,$B60))/(COUNTIFS('DATA INPUT'!$A$3:$A$3000,"&gt;="&amp;DATE(2025,1,1),'DATA INPUT'!$A$3:$A$3000,"&lt;="&amp;DATE(2025,12,31),'DATA INPUT'!$B$3:$B$3000,$B60)),(SUMIFS('DATA INPUT'!$D$3:$D$3000,'DATA INPUT'!$A$3:$A$3000,"&gt;="&amp;DATE(2025,1,1),'DATA INPUT'!$A$3:$A$3000,"&lt;="&amp;DATE(2025,12,31),'DATA INPUT'!$B$3:$B$3000,$B60,'DATA INPUT'!$F$3:$F$3000,"&lt;&gt;*Exclude*"))/(COUNTIFS('DATA INPUT'!$A$3:$A$3000,"&gt;="&amp;DATE(2025,1,1),'DATA INPUT'!$A$3:$A$3000,"&lt;="&amp;DATE(2025,12,31),'DATA INPUT'!$B$3:$B$3000,$B60,'DATA INPUT'!$F$3:$F$3000,"&lt;&gt;*Exclude*")))</f>
        <v>#DIV/0!</v>
      </c>
      <c r="L60" s="73" t="str">
        <f t="shared" si="20"/>
        <v/>
      </c>
      <c r="Y60" s="149"/>
      <c r="Z60" s="149" t="s">
        <v>21</v>
      </c>
      <c r="AA60" s="136" t="e">
        <f>IF($L$2="Yes",IF(SUMIFS('DATA INPUT'!$E$3:$E$3000,'DATA INPUT'!$B$3:$B$3000,'Report Tables'!AA$1,'DATA INPUT'!$A$3:$A$3000,"&gt;="&amp;DATE(2021,10,1),'DATA INPUT'!$A$3:$A$3000,"&lt;"&amp;DATE(2021,10,31))=0,#N/A,(SUMIFS('DATA INPUT'!$E$3:$E$3000,'DATA INPUT'!$B$3:$B$3000,'Report Tables'!AA$1,'DATA INPUT'!$A$3:$A$3000,"&gt;="&amp;DATE(2021,10,1),'DATA INPUT'!$A$3:$A$3000,"&lt;"&amp;DATE(2021,10,31)))),IF(SUMIFS('DATA INPUT'!$E$3:$E$3000,'DATA INPUT'!$B$3:$B$3000,'Report Tables'!AA$1,'DATA INPUT'!$A$3:$A$3000,"&gt;="&amp;DATE(2021,10,1),'DATA INPUT'!$A$3:$A$3000,"&lt;"&amp;DATE(2021,10,31),'DATA INPUT'!$F$3:$F$3000,"&lt;&gt;*Exclude*")=0,#N/A,(SUMIFS('DATA INPUT'!$E$3:$E$3000,'DATA INPUT'!$B$3:$B$3000,'Report Tables'!AA$1,'DATA INPUT'!$A$3:$A$3000,"&gt;="&amp;DATE(2021,10,1),'DATA INPUT'!$A$3:$A$3000,"&lt;"&amp;DATE(2021,10,31),'DATA INPUT'!$F$3:$F$3000,"&lt;&gt;*Exclude*"))))</f>
        <v>#N/A</v>
      </c>
      <c r="AB60" s="136" t="e">
        <f>IF($L$2="Yes",IF(SUMIFS('DATA INPUT'!$E$3:$E$3000,'DATA INPUT'!$B$3:$B$3000,'Report Tables'!AB$1,'DATA INPUT'!$A$3:$A$3000,"&gt;="&amp;DATE(2021,10,1),'DATA INPUT'!$A$3:$A$3000,"&lt;"&amp;DATE(2021,10,31))=0,#N/A,(SUMIFS('DATA INPUT'!$E$3:$E$3000,'DATA INPUT'!$B$3:$B$3000,'Report Tables'!AB$1,'DATA INPUT'!$A$3:$A$3000,"&gt;="&amp;DATE(2021,10,1),'DATA INPUT'!$A$3:$A$3000,"&lt;"&amp;DATE(2021,10,31)))),IF(SUMIFS('DATA INPUT'!$E$3:$E$3000,'DATA INPUT'!$B$3:$B$3000,'Report Tables'!AB$1,'DATA INPUT'!$A$3:$A$3000,"&gt;="&amp;DATE(2021,10,1),'DATA INPUT'!$A$3:$A$3000,"&lt;"&amp;DATE(2021,10,31),'DATA INPUT'!$F$3:$F$3000,"&lt;&gt;*Exclude*")=0,#N/A,(SUMIFS('DATA INPUT'!$E$3:$E$3000,'DATA INPUT'!$B$3:$B$3000,'Report Tables'!AB$1,'DATA INPUT'!$A$3:$A$3000,"&gt;="&amp;DATE(2021,10,1),'DATA INPUT'!$A$3:$A$3000,"&lt;"&amp;DATE(2021,10,31),'DATA INPUT'!$F$3:$F$3000,"&lt;&gt;*Exclude*"))))</f>
        <v>#N/A</v>
      </c>
      <c r="AC60" s="136" t="e">
        <f>IF($L$2="Yes",IF(SUMIFS('DATA INPUT'!$E$3:$E$3000,'DATA INPUT'!$B$3:$B$3000,'Report Tables'!AC$1,'DATA INPUT'!$A$3:$A$3000,"&gt;="&amp;DATE(2021,10,1),'DATA INPUT'!$A$3:$A$3000,"&lt;"&amp;DATE(2021,10,31))=0,#N/A,(SUMIFS('DATA INPUT'!$E$3:$E$3000,'DATA INPUT'!$B$3:$B$3000,'Report Tables'!AC$1,'DATA INPUT'!$A$3:$A$3000,"&gt;="&amp;DATE(2021,10,1),'DATA INPUT'!$A$3:$A$3000,"&lt;"&amp;DATE(2021,10,31)))),IF(SUMIFS('DATA INPUT'!$E$3:$E$3000,'DATA INPUT'!$B$3:$B$3000,'Report Tables'!AC$1,'DATA INPUT'!$A$3:$A$3000,"&gt;="&amp;DATE(2021,10,1),'DATA INPUT'!$A$3:$A$3000,"&lt;"&amp;DATE(2021,10,31),'DATA INPUT'!$F$3:$F$3000,"&lt;&gt;*Exclude*")=0,#N/A,(SUMIFS('DATA INPUT'!$E$3:$E$3000,'DATA INPUT'!$B$3:$B$3000,'Report Tables'!AC$1,'DATA INPUT'!$A$3:$A$3000,"&gt;="&amp;DATE(2021,10,1),'DATA INPUT'!$A$3:$A$3000,"&lt;"&amp;DATE(2021,10,31),'DATA INPUT'!$F$3:$F$3000,"&lt;&gt;*Exclude*"))))</f>
        <v>#N/A</v>
      </c>
      <c r="AD60" s="136" t="e">
        <f>IF($L$2="Yes",IF(SUMIFS('DATA INPUT'!$E$3:$E$3000,'DATA INPUT'!$B$3:$B$3000,'Report Tables'!AD$1,'DATA INPUT'!$A$3:$A$3000,"&gt;="&amp;DATE(2021,10,1),'DATA INPUT'!$A$3:$A$3000,"&lt;"&amp;DATE(2021,10,31))=0,#N/A,(SUMIFS('DATA INPUT'!$E$3:$E$3000,'DATA INPUT'!$B$3:$B$3000,'Report Tables'!AD$1,'DATA INPUT'!$A$3:$A$3000,"&gt;="&amp;DATE(2021,10,1),'DATA INPUT'!$A$3:$A$3000,"&lt;"&amp;DATE(2021,10,31)))),IF(SUMIFS('DATA INPUT'!$E$3:$E$3000,'DATA INPUT'!$B$3:$B$3000,'Report Tables'!AD$1,'DATA INPUT'!$A$3:$A$3000,"&gt;="&amp;DATE(2021,10,1),'DATA INPUT'!$A$3:$A$3000,"&lt;"&amp;DATE(2021,10,31),'DATA INPUT'!$F$3:$F$3000,"&lt;&gt;*Exclude*")=0,#N/A,(SUMIFS('DATA INPUT'!$E$3:$E$3000,'DATA INPUT'!$B$3:$B$3000,'Report Tables'!AD$1,'DATA INPUT'!$A$3:$A$3000,"&gt;="&amp;DATE(2021,10,1),'DATA INPUT'!$A$3:$A$3000,"&lt;"&amp;DATE(2021,10,31),'DATA INPUT'!$F$3:$F$3000,"&lt;&gt;*Exclude*"))))</f>
        <v>#N/A</v>
      </c>
      <c r="AE60" s="136" t="e">
        <f>IF($L$2="Yes",IF(SUMIFS('DATA INPUT'!$E$3:$E$3000,'DATA INPUT'!$B$3:$B$3000,'Report Tables'!AE$1,'DATA INPUT'!$A$3:$A$3000,"&gt;="&amp;DATE(2021,10,1),'DATA INPUT'!$A$3:$A$3000,"&lt;"&amp;DATE(2021,10,31))=0,#N/A,(SUMIFS('DATA INPUT'!$E$3:$E$3000,'DATA INPUT'!$B$3:$B$3000,'Report Tables'!AE$1,'DATA INPUT'!$A$3:$A$3000,"&gt;="&amp;DATE(2021,10,1),'DATA INPUT'!$A$3:$A$3000,"&lt;"&amp;DATE(2021,10,31)))),IF(SUMIFS('DATA INPUT'!$E$3:$E$3000,'DATA INPUT'!$B$3:$B$3000,'Report Tables'!AE$1,'DATA INPUT'!$A$3:$A$3000,"&gt;="&amp;DATE(2021,10,1),'DATA INPUT'!$A$3:$A$3000,"&lt;"&amp;DATE(2021,10,31),'DATA INPUT'!$F$3:$F$3000,"&lt;&gt;*Exclude*")=0,#N/A,(SUMIFS('DATA INPUT'!$E$3:$E$3000,'DATA INPUT'!$B$3:$B$3000,'Report Tables'!AE$1,'DATA INPUT'!$A$3:$A$3000,"&gt;="&amp;DATE(2021,10,1),'DATA INPUT'!$A$3:$A$3000,"&lt;"&amp;DATE(2021,10,31),'DATA INPUT'!$F$3:$F$3000,"&lt;&gt;*Exclude*"))))</f>
        <v>#N/A</v>
      </c>
      <c r="AF60" s="136" t="e">
        <f>IF($L$2="Yes",IF(SUMIFS('DATA INPUT'!$E$3:$E$3000,'DATA INPUT'!$B$3:$B$3000,'Report Tables'!AF$1,'DATA INPUT'!$A$3:$A$3000,"&gt;="&amp;DATE(2021,10,1),'DATA INPUT'!$A$3:$A$3000,"&lt;"&amp;DATE(2021,10,31))=0,#N/A,(SUMIFS('DATA INPUT'!$E$3:$E$3000,'DATA INPUT'!$B$3:$B$3000,'Report Tables'!AF$1,'DATA INPUT'!$A$3:$A$3000,"&gt;="&amp;DATE(2021,10,1),'DATA INPUT'!$A$3:$A$3000,"&lt;"&amp;DATE(2021,10,31)))),IF(SUMIFS('DATA INPUT'!$E$3:$E$3000,'DATA INPUT'!$B$3:$B$3000,'Report Tables'!AF$1,'DATA INPUT'!$A$3:$A$3000,"&gt;="&amp;DATE(2021,10,1),'DATA INPUT'!$A$3:$A$3000,"&lt;"&amp;DATE(2021,10,31),'DATA INPUT'!$F$3:$F$3000,"&lt;&gt;*Exclude*")=0,#N/A,(SUMIFS('DATA INPUT'!$E$3:$E$3000,'DATA INPUT'!$B$3:$B$3000,'Report Tables'!AF$1,'DATA INPUT'!$A$3:$A$3000,"&gt;="&amp;DATE(2021,10,1),'DATA INPUT'!$A$3:$A$3000,"&lt;"&amp;DATE(2021,10,31),'DATA INPUT'!$F$3:$F$3000,"&lt;&gt;*Exclude*"))))</f>
        <v>#N/A</v>
      </c>
      <c r="AG60" s="136" t="e">
        <f>IF($L$2="Yes",IF(SUMIFS('DATA INPUT'!$E$3:$E$3000,'DATA INPUT'!$B$3:$B$3000,'Report Tables'!AG$1,'DATA INPUT'!$A$3:$A$3000,"&gt;="&amp;DATE(2021,10,1),'DATA INPUT'!$A$3:$A$3000,"&lt;"&amp;DATE(2021,10,31))=0,#N/A,(SUMIFS('DATA INPUT'!$E$3:$E$3000,'DATA INPUT'!$B$3:$B$3000,'Report Tables'!AG$1,'DATA INPUT'!$A$3:$A$3000,"&gt;="&amp;DATE(2021,10,1),'DATA INPUT'!$A$3:$A$3000,"&lt;"&amp;DATE(2021,10,31)))),IF(SUMIFS('DATA INPUT'!$E$3:$E$3000,'DATA INPUT'!$B$3:$B$3000,'Report Tables'!AG$1,'DATA INPUT'!$A$3:$A$3000,"&gt;="&amp;DATE(2021,10,1),'DATA INPUT'!$A$3:$A$3000,"&lt;"&amp;DATE(2021,10,31),'DATA INPUT'!$F$3:$F$3000,"&lt;&gt;*Exclude*")=0,#N/A,(SUMIFS('DATA INPUT'!$E$3:$E$3000,'DATA INPUT'!$B$3:$B$3000,'Report Tables'!AG$1,'DATA INPUT'!$A$3:$A$3000,"&gt;="&amp;DATE(2021,10,1),'DATA INPUT'!$A$3:$A$3000,"&lt;"&amp;DATE(2021,10,31),'DATA INPUT'!$F$3:$F$3000,"&lt;&gt;*Exclude*"))))</f>
        <v>#N/A</v>
      </c>
      <c r="AH60" s="136" t="e">
        <f>IF($L$2="Yes",IF(SUMIFS('DATA INPUT'!$E$3:$E$3000,'DATA INPUT'!$B$3:$B$3000,'Report Tables'!AH$1,'DATA INPUT'!$A$3:$A$3000,"&gt;="&amp;DATE(2021,10,1),'DATA INPUT'!$A$3:$A$3000,"&lt;"&amp;DATE(2021,10,31))=0,#N/A,(SUMIFS('DATA INPUT'!$E$3:$E$3000,'DATA INPUT'!$B$3:$B$3000,'Report Tables'!AH$1,'DATA INPUT'!$A$3:$A$3000,"&gt;="&amp;DATE(2021,10,1),'DATA INPUT'!$A$3:$A$3000,"&lt;"&amp;DATE(2021,10,31)))),IF(SUMIFS('DATA INPUT'!$E$3:$E$3000,'DATA INPUT'!$B$3:$B$3000,'Report Tables'!AH$1,'DATA INPUT'!$A$3:$A$3000,"&gt;="&amp;DATE(2021,10,1),'DATA INPUT'!$A$3:$A$3000,"&lt;"&amp;DATE(2021,10,31),'DATA INPUT'!$F$3:$F$3000,"&lt;&gt;*Exclude*")=0,#N/A,(SUMIFS('DATA INPUT'!$E$3:$E$3000,'DATA INPUT'!$B$3:$B$3000,'Report Tables'!AH$1,'DATA INPUT'!$A$3:$A$3000,"&gt;="&amp;DATE(2021,10,1),'DATA INPUT'!$A$3:$A$3000,"&lt;"&amp;DATE(2021,10,31),'DATA INPUT'!$F$3:$F$3000,"&lt;&gt;*Exclude*"))))</f>
        <v>#N/A</v>
      </c>
      <c r="AI60" s="136" t="e">
        <f t="shared" si="0"/>
        <v>#N/A</v>
      </c>
      <c r="AJ60" s="136" t="e">
        <f>IF($L$2="Yes",IF(SUMIFS('DATA INPUT'!$D$3:$D$3000,'DATA INPUT'!$A$3:$A$3000,"&gt;="&amp;DATE(2021,10,1),'DATA INPUT'!$A$3:$A$3000,"&lt;"&amp;DATE(2021,10,31),'DATA INPUT'!$G$3:$G$3000,"&lt;&gt;*School service*")=0,#N/A,(SUMIFS('DATA INPUT'!$D$3:$D$3000,'DATA INPUT'!$A$3:$A$3000,"&gt;="&amp;DATE(2021,10,1),'DATA INPUT'!$A$3:$A$3000,"&lt;"&amp;DATE(2021,10,31),'DATA INPUT'!$G$3:$G$3000,"&lt;&gt;*School service*"))),IF(SUMIFS('DATA INPUT'!$D$3:$D$3000,'DATA INPUT'!$A$3:$A$3000,"&gt;="&amp;DATE(2021,10,1),'DATA INPUT'!$A$3:$A$3000,"&lt;"&amp;DATE(2021,10,31),'DATA INPUT'!$F$3:$F$3000,"&lt;&gt;*Exclude*",'DATA INPUT'!$G$3:$G$3000,"&lt;&gt;*School service*")=0,#N/A,(SUMIFS('DATA INPUT'!$D$3:$D$3000,'DATA INPUT'!$A$3:$A$3000,"&gt;="&amp;DATE(2021,10,1),'DATA INPUT'!$A$3:$A$3000,"&lt;"&amp;DATE(2021,10,31),'DATA INPUT'!$F$3:$F$3000,"&lt;&gt;*Exclude*",'DATA INPUT'!$G$3:$G$3000,"&lt;&gt;*School service*"))))</f>
        <v>#N/A</v>
      </c>
      <c r="AK60" s="136" t="e">
        <f>AI60-AJ60</f>
        <v>#N/A</v>
      </c>
      <c r="AM60" s="117" t="e">
        <f>IF($L$2="Yes",IFERROR((SUMIFS('DATA INPUT'!$E$3:$E$3000,'DATA INPUT'!$B$3:$B$3000,'Report Tables'!AM$1,'DATA INPUT'!$A$3:$A$3000,"&gt;="&amp;DATE(2021,10,1),'DATA INPUT'!$A$3:$A$3000,"&lt;"&amp;DATE(2021,10,31)))/COUNTIFS('DATA INPUT'!$B$3:$B$3000,'Report Tables'!AM$1,'DATA INPUT'!$A$3:$A$3000,"&gt;="&amp;DATE(2021,10,1),'DATA INPUT'!$A$3:$A$3000,"&lt;"&amp;DATE(2021,10,31)),#N/A),IFERROR((SUMIFS('DATA INPUT'!$E$3:$E$3000,'DATA INPUT'!$B$3:$B$3000,'Report Tables'!AM$1,'DATA INPUT'!$A$3:$A$3000,"&gt;="&amp;DATE(2021,10,1),'DATA INPUT'!$A$3:$A$3000,"&lt;"&amp;DATE(2021,10,31),'DATA INPUT'!$F$3:$F$3000,"&lt;&gt;*Exclude*"))/(COUNTIFS('DATA INPUT'!$B$3:$B$3000,'Report Tables'!AM$1,'DATA INPUT'!$A$3:$A$3000,"&gt;="&amp;DATE(2021,10,1),'DATA INPUT'!$A$3:$A$3000,"&lt;"&amp;DATE(2021,10,31),'DATA INPUT'!$F$3:$F$3000,"&lt;&gt;*Exclude*")),#N/A))</f>
        <v>#N/A</v>
      </c>
      <c r="AN60" s="117" t="e">
        <f>IF($L$2="Yes",IFERROR((SUMIFS('DATA INPUT'!$E$3:$E$3000,'DATA INPUT'!$B$3:$B$3000,'Report Tables'!AN$1,'DATA INPUT'!$A$3:$A$3000,"&gt;="&amp;DATE(2021,10,1),'DATA INPUT'!$A$3:$A$3000,"&lt;"&amp;DATE(2021,10,31)))/COUNTIFS('DATA INPUT'!$B$3:$B$3000,'Report Tables'!AN$1,'DATA INPUT'!$A$3:$A$3000,"&gt;="&amp;DATE(2021,10,1),'DATA INPUT'!$A$3:$A$3000,"&lt;"&amp;DATE(2021,10,31)),#N/A),IFERROR((SUMIFS('DATA INPUT'!$E$3:$E$3000,'DATA INPUT'!$B$3:$B$3000,'Report Tables'!AN$1,'DATA INPUT'!$A$3:$A$3000,"&gt;="&amp;DATE(2021,10,1),'DATA INPUT'!$A$3:$A$3000,"&lt;"&amp;DATE(2021,10,31),'DATA INPUT'!$F$3:$F$3000,"&lt;&gt;*Exclude*"))/(COUNTIFS('DATA INPUT'!$B$3:$B$3000,'Report Tables'!AN$1,'DATA INPUT'!$A$3:$A$3000,"&gt;="&amp;DATE(2021,10,1),'DATA INPUT'!$A$3:$A$3000,"&lt;"&amp;DATE(2021,10,31),'DATA INPUT'!$F$3:$F$3000,"&lt;&gt;*Exclude*")),#N/A))</f>
        <v>#N/A</v>
      </c>
      <c r="AO60" s="117" t="e">
        <f>IF($L$2="Yes",IFERROR((SUMIFS('DATA INPUT'!$E$3:$E$3000,'DATA INPUT'!$B$3:$B$3000,'Report Tables'!AO$1,'DATA INPUT'!$A$3:$A$3000,"&gt;="&amp;DATE(2021,10,1),'DATA INPUT'!$A$3:$A$3000,"&lt;"&amp;DATE(2021,10,31)))/COUNTIFS('DATA INPUT'!$B$3:$B$3000,'Report Tables'!AO$1,'DATA INPUT'!$A$3:$A$3000,"&gt;="&amp;DATE(2021,10,1),'DATA INPUT'!$A$3:$A$3000,"&lt;"&amp;DATE(2021,10,31)),#N/A),IFERROR((SUMIFS('DATA INPUT'!$E$3:$E$3000,'DATA INPUT'!$B$3:$B$3000,'Report Tables'!AO$1,'DATA INPUT'!$A$3:$A$3000,"&gt;="&amp;DATE(2021,10,1),'DATA INPUT'!$A$3:$A$3000,"&lt;"&amp;DATE(2021,10,31),'DATA INPUT'!$F$3:$F$3000,"&lt;&gt;*Exclude*"))/(COUNTIFS('DATA INPUT'!$B$3:$B$3000,'Report Tables'!AO$1,'DATA INPUT'!$A$3:$A$3000,"&gt;="&amp;DATE(2021,10,1),'DATA INPUT'!$A$3:$A$3000,"&lt;"&amp;DATE(2021,10,31),'DATA INPUT'!$F$3:$F$3000,"&lt;&gt;*Exclude*")),#N/A))</f>
        <v>#N/A</v>
      </c>
      <c r="AP60" s="117" t="e">
        <f>IF($L$2="Yes",IFERROR((SUMIFS('DATA INPUT'!$E$3:$E$3000,'DATA INPUT'!$B$3:$B$3000,'Report Tables'!AP$1,'DATA INPUT'!$A$3:$A$3000,"&gt;="&amp;DATE(2021,10,1),'DATA INPUT'!$A$3:$A$3000,"&lt;"&amp;DATE(2021,10,31)))/COUNTIFS('DATA INPUT'!$B$3:$B$3000,'Report Tables'!AP$1,'DATA INPUT'!$A$3:$A$3000,"&gt;="&amp;DATE(2021,10,1),'DATA INPUT'!$A$3:$A$3000,"&lt;"&amp;DATE(2021,10,31)),#N/A),IFERROR((SUMIFS('DATA INPUT'!$E$3:$E$3000,'DATA INPUT'!$B$3:$B$3000,'Report Tables'!AP$1,'DATA INPUT'!$A$3:$A$3000,"&gt;="&amp;DATE(2021,10,1),'DATA INPUT'!$A$3:$A$3000,"&lt;"&amp;DATE(2021,10,31),'DATA INPUT'!$F$3:$F$3000,"&lt;&gt;*Exclude*"))/(COUNTIFS('DATA INPUT'!$B$3:$B$3000,'Report Tables'!AP$1,'DATA INPUT'!$A$3:$A$3000,"&gt;="&amp;DATE(2021,10,1),'DATA INPUT'!$A$3:$A$3000,"&lt;"&amp;DATE(2021,10,31),'DATA INPUT'!$F$3:$F$3000,"&lt;&gt;*Exclude*")),#N/A))</f>
        <v>#N/A</v>
      </c>
      <c r="AQ60" s="117" t="e">
        <f>IF($L$2="Yes",IFERROR((SUMIFS('DATA INPUT'!$E$3:$E$3000,'DATA INPUT'!$B$3:$B$3000,'Report Tables'!AQ$1,'DATA INPUT'!$A$3:$A$3000,"&gt;="&amp;DATE(2021,10,1),'DATA INPUT'!$A$3:$A$3000,"&lt;"&amp;DATE(2021,10,31)))/COUNTIFS('DATA INPUT'!$B$3:$B$3000,'Report Tables'!AQ$1,'DATA INPUT'!$A$3:$A$3000,"&gt;="&amp;DATE(2021,10,1),'DATA INPUT'!$A$3:$A$3000,"&lt;"&amp;DATE(2021,10,31)),#N/A),IFERROR((SUMIFS('DATA INPUT'!$E$3:$E$3000,'DATA INPUT'!$B$3:$B$3000,'Report Tables'!AQ$1,'DATA INPUT'!$A$3:$A$3000,"&gt;="&amp;DATE(2021,10,1),'DATA INPUT'!$A$3:$A$3000,"&lt;"&amp;DATE(2021,10,31),'DATA INPUT'!$F$3:$F$3000,"&lt;&gt;*Exclude*"))/(COUNTIFS('DATA INPUT'!$B$3:$B$3000,'Report Tables'!AQ$1,'DATA INPUT'!$A$3:$A$3000,"&gt;="&amp;DATE(2021,10,1),'DATA INPUT'!$A$3:$A$3000,"&lt;"&amp;DATE(2021,10,31),'DATA INPUT'!$F$3:$F$3000,"&lt;&gt;*Exclude*")),#N/A))</f>
        <v>#N/A</v>
      </c>
      <c r="AR60" s="117" t="e">
        <f>IF($L$2="Yes",IFERROR((SUMIFS('DATA INPUT'!$E$3:$E$3000,'DATA INPUT'!$B$3:$B$3000,'Report Tables'!AR$1,'DATA INPUT'!$A$3:$A$3000,"&gt;="&amp;DATE(2021,10,1),'DATA INPUT'!$A$3:$A$3000,"&lt;"&amp;DATE(2021,10,31)))/COUNTIFS('DATA INPUT'!$B$3:$B$3000,'Report Tables'!AR$1,'DATA INPUT'!$A$3:$A$3000,"&gt;="&amp;DATE(2021,10,1),'DATA INPUT'!$A$3:$A$3000,"&lt;"&amp;DATE(2021,10,31)),#N/A),IFERROR((SUMIFS('DATA INPUT'!$E$3:$E$3000,'DATA INPUT'!$B$3:$B$3000,'Report Tables'!AR$1,'DATA INPUT'!$A$3:$A$3000,"&gt;="&amp;DATE(2021,10,1),'DATA INPUT'!$A$3:$A$3000,"&lt;"&amp;DATE(2021,10,31),'DATA INPUT'!$F$3:$F$3000,"&lt;&gt;*Exclude*"))/(COUNTIFS('DATA INPUT'!$B$3:$B$3000,'Report Tables'!AR$1,'DATA INPUT'!$A$3:$A$3000,"&gt;="&amp;DATE(2021,10,1),'DATA INPUT'!$A$3:$A$3000,"&lt;"&amp;DATE(2021,10,31),'DATA INPUT'!$F$3:$F$3000,"&lt;&gt;*Exclude*")),#N/A))</f>
        <v>#N/A</v>
      </c>
      <c r="AS60" s="117" t="e">
        <f>IF($L$2="Yes",IFERROR((SUMIFS('DATA INPUT'!$E$3:$E$3000,'DATA INPUT'!$B$3:$B$3000,'Report Tables'!AS$1,'DATA INPUT'!$A$3:$A$3000,"&gt;="&amp;DATE(2021,10,1),'DATA INPUT'!$A$3:$A$3000,"&lt;"&amp;DATE(2021,10,31)))/COUNTIFS('DATA INPUT'!$B$3:$B$3000,'Report Tables'!AS$1,'DATA INPUT'!$A$3:$A$3000,"&gt;="&amp;DATE(2021,10,1),'DATA INPUT'!$A$3:$A$3000,"&lt;"&amp;DATE(2021,10,31)),#N/A),IFERROR((SUMIFS('DATA INPUT'!$E$3:$E$3000,'DATA INPUT'!$B$3:$B$3000,'Report Tables'!AS$1,'DATA INPUT'!$A$3:$A$3000,"&gt;="&amp;DATE(2021,10,1),'DATA INPUT'!$A$3:$A$3000,"&lt;"&amp;DATE(2021,10,31),'DATA INPUT'!$F$3:$F$3000,"&lt;&gt;*Exclude*"))/(COUNTIFS('DATA INPUT'!$B$3:$B$3000,'Report Tables'!AS$1,'DATA INPUT'!$A$3:$A$3000,"&gt;="&amp;DATE(2021,10,1),'DATA INPUT'!$A$3:$A$3000,"&lt;"&amp;DATE(2021,10,31),'DATA INPUT'!$F$3:$F$3000,"&lt;&gt;*Exclude*")),#N/A))</f>
        <v>#N/A</v>
      </c>
      <c r="AT60" s="117" t="e">
        <f>IF($L$2="Yes",IFERROR((SUMIFS('DATA INPUT'!$E$3:$E$3000,'DATA INPUT'!$B$3:$B$3000,'Report Tables'!AT$1,'DATA INPUT'!$A$3:$A$3000,"&gt;="&amp;DATE(2021,10,1),'DATA INPUT'!$A$3:$A$3000,"&lt;"&amp;DATE(2021,10,31)))/COUNTIFS('DATA INPUT'!$B$3:$B$3000,'Report Tables'!AT$1,'DATA INPUT'!$A$3:$A$3000,"&gt;="&amp;DATE(2021,10,1),'DATA INPUT'!$A$3:$A$3000,"&lt;"&amp;DATE(2021,10,31)),#N/A),IFERROR((SUMIFS('DATA INPUT'!$E$3:$E$3000,'DATA INPUT'!$B$3:$B$3000,'Report Tables'!AT$1,'DATA INPUT'!$A$3:$A$3000,"&gt;="&amp;DATE(2021,10,1),'DATA INPUT'!$A$3:$A$3000,"&lt;"&amp;DATE(2021,10,31),'DATA INPUT'!$F$3:$F$3000,"&lt;&gt;*Exclude*"))/(COUNTIFS('DATA INPUT'!$B$3:$B$3000,'Report Tables'!AT$1,'DATA INPUT'!$A$3:$A$3000,"&gt;="&amp;DATE(2021,10,1),'DATA INPUT'!$A$3:$A$3000,"&lt;"&amp;DATE(2021,10,31),'DATA INPUT'!$F$3:$F$3000,"&lt;&gt;*Exclude*")),#N/A))</f>
        <v>#N/A</v>
      </c>
      <c r="AU60" s="117" t="e">
        <f t="shared" si="1"/>
        <v>#N/A</v>
      </c>
      <c r="AV60" s="117" t="e">
        <f>IF($L$2="Yes",IFERROR((SUMIFS('DATA INPUT'!$D$3:$D$3000,'DATA INPUT'!$A$3:$A$3000,"&gt;="&amp;DATE(2021,10,1),'DATA INPUT'!$A$3:$A$3000,"&lt;"&amp;DATE(2021,10,31),'DATA INPUT'!$G$3:$G$3000,"&lt;&gt;*School service*"))/COUNTIFS('DATA INPUT'!$A$3:$A$3000,"&gt;="&amp;DATE(2021,10,1),'DATA INPUT'!$A$3:$A$3000,"&lt;"&amp;DATE(2021,10,31),'DATA INPUT'!$G$3:$G$3000,"&lt;&gt;*School service*",'DATA INPUT'!$D$3:$D$3000,"&lt;&gt;"&amp;""),#N/A),IFERROR((SUMIFS('DATA INPUT'!$D$3:$D$3000,'DATA INPUT'!$A$3:$A$3000,"&gt;="&amp;DATE(2021,10,1),'DATA INPUT'!$A$3:$A$3000,"&lt;"&amp;DATE(2021,10,31),'DATA INPUT'!$F$3:$F$3000,"&lt;&gt;*Exclude*",'DATA INPUT'!$G$3:$G$3000,"&lt;&gt;*School service*"))/(COUNTIFS('DATA INPUT'!$A$3:$A$3000,"&gt;="&amp;DATE(2021,10,1),'DATA INPUT'!$A$3:$A$3000,"&lt;"&amp;DATE(2021,10,31),'DATA INPUT'!$F$3:$F$3000,"&lt;&gt;*Exclude*",'DATA INPUT'!$G$3:$G$3000,"&lt;&gt;*School service*",'DATA INPUT'!$D$3:$D$3000,"&lt;&gt;"&amp;"")),#N/A))</f>
        <v>#N/A</v>
      </c>
      <c r="AW60" s="117" t="e">
        <f t="shared" si="2"/>
        <v>#N/A</v>
      </c>
      <c r="AX60" s="117" t="e">
        <f>IF($L$2="Yes",IFERROR((SUMIFS('DATA INPUT'!$E$3:$E$3000,'DATA INPUT'!$B$3:$B$3000,'Report Tables'!AX$1,'DATA INPUT'!$A$3:$A$3000,"&gt;="&amp;DATE(2021,10,1),'DATA INPUT'!$A$3:$A$3000,"&lt;"&amp;DATE(2021,10,31)))/COUNTIFS('DATA INPUT'!$B$3:$B$3000,'Report Tables'!AX$1,'DATA INPUT'!$A$3:$A$3000,"&gt;="&amp;DATE(2021,10,1),'DATA INPUT'!$A$3:$A$3000,"&lt;"&amp;DATE(2021,10,31)),#N/A),IFERROR((SUMIFS('DATA INPUT'!$E$3:$E$3000,'DATA INPUT'!$B$3:$B$3000,'Report Tables'!AX$1,'DATA INPUT'!$A$3:$A$3000,"&gt;="&amp;DATE(2021,10,1),'DATA INPUT'!$A$3:$A$3000,"&lt;"&amp;DATE(2021,10,31),'DATA INPUT'!$F$3:$F$3000,"&lt;&gt;*Exclude*"))/(COUNTIFS('DATA INPUT'!$B$3:$B$3000,'Report Tables'!AX$1,'DATA INPUT'!$A$3:$A$3000,"&gt;="&amp;DATE(2021,10,1),'DATA INPUT'!$A$3:$A$3000,"&lt;"&amp;DATE(2021,10,31),'DATA INPUT'!$F$3:$F$3000,"&lt;&gt;*Exclude*")),#N/A))</f>
        <v>#N/A</v>
      </c>
      <c r="AY60" s="117" t="e">
        <f>IF($L$2="Yes",IFERROR((SUMIFS('DATA INPUT'!$D$3:$D$3000,'DATA INPUT'!$B$3:$B$3000,'Report Tables'!AX$1,'DATA INPUT'!$A$3:$A$3000,"&gt;="&amp;DATE(2021,10,1),'DATA INPUT'!$A$3:$A$3000,"&lt;"&amp;DATE(2021,10,31)))/COUNTIFS('DATA INPUT'!$B$3:$B$3000,'Report Tables'!AX$1,'DATA INPUT'!$A$3:$A$3000,"&gt;="&amp;DATE(2021,10,1),'DATA INPUT'!$A$3:$A$3000,"&lt;"&amp;DATE(2021,10,31)),#N/A),IFERROR((SUMIFS('DATA INPUT'!$D$3:$D$3000,'DATA INPUT'!$B$3:$B$3000,'Report Tables'!AX$1,'DATA INPUT'!$A$3:$A$3000,"&gt;="&amp;DATE(2021,10,1),'DATA INPUT'!$A$3:$A$3000,"&lt;"&amp;DATE(2021,10,31),'DATA INPUT'!$F$3:$F$3000,"&lt;&gt;*Exclude*"))/(COUNTIFS('DATA INPUT'!$B$3:$B$3000,'Report Tables'!AX$1,'DATA INPUT'!$A$3:$A$3000,"&gt;="&amp;DATE(2021,10,1),'DATA INPUT'!$A$3:$A$3000,"&lt;"&amp;DATE(2021,10,31),'DATA INPUT'!$F$3:$F$3000,"&lt;&gt;*Exclude*")),#N/A))</f>
        <v>#N/A</v>
      </c>
      <c r="AZ60" s="117" t="e">
        <f>IF($L$2="Yes",IFERROR((SUMIFS('DATA INPUT'!$C$3:$C$3000,'DATA INPUT'!$B$3:$B$3000,'Report Tables'!AX$1,'DATA INPUT'!$A$3:$A$3000,"&gt;="&amp;DATE(2021,10,1),'DATA INPUT'!$A$3:$A$3000,"&lt;"&amp;DATE(2021,10,31)))/COUNTIFS('DATA INPUT'!$B$3:$B$3000,'Report Tables'!AX$1,'DATA INPUT'!$A$3:$A$3000,"&gt;="&amp;DATE(2021,10,1),'DATA INPUT'!$A$3:$A$3000,"&lt;"&amp;DATE(2021,10,31)),#N/A),IFERROR((SUMIFS('DATA INPUT'!$C$3:$C$3000,'DATA INPUT'!$B$3:$B$3000,'Report Tables'!AX$1,'DATA INPUT'!$A$3:$A$3000,"&gt;="&amp;DATE(2021,10,1),'DATA INPUT'!$A$3:$A$3000,"&lt;"&amp;DATE(2021,10,31),'DATA INPUT'!$F$3:$F$3000,"&lt;&gt;*Exclude*"))/(COUNTIFS('DATA INPUT'!$B$3:$B$3000,'Report Tables'!AX$1,'DATA INPUT'!$A$3:$A$3000,"&gt;="&amp;DATE(2021,10,1),'DATA INPUT'!$A$3:$A$3000,"&lt;"&amp;DATE(2021,10,31),'DATA INPUT'!$F$3:$F$3000,"&lt;&gt;*Exclude*")),#N/A))</f>
        <v>#N/A</v>
      </c>
    </row>
    <row r="61" spans="1:52" ht="15" thickBot="1" x14ac:dyDescent="0.35">
      <c r="B61" s="29" t="s">
        <v>91</v>
      </c>
      <c r="C61" s="28" t="e">
        <f t="shared" ref="C61:K61" si="21">IF(SUMIF(C53:C60,"&lt;&gt;#DIV/0!")=0,#N/A,SUMIF(C53:C60,"&lt;&gt;#DIV/0!"))</f>
        <v>#N/A</v>
      </c>
      <c r="D61" s="28" t="e">
        <f t="shared" si="21"/>
        <v>#N/A</v>
      </c>
      <c r="E61" s="28" t="e">
        <f t="shared" si="21"/>
        <v>#N/A</v>
      </c>
      <c r="F61" s="28" t="e">
        <f t="shared" si="21"/>
        <v>#N/A</v>
      </c>
      <c r="G61" s="28" t="e">
        <f t="shared" si="21"/>
        <v>#N/A</v>
      </c>
      <c r="H61" s="28" t="e">
        <f t="shared" si="21"/>
        <v>#N/A</v>
      </c>
      <c r="I61" s="28" t="e">
        <f t="shared" si="21"/>
        <v>#N/A</v>
      </c>
      <c r="J61" s="28" t="e">
        <f t="shared" si="21"/>
        <v>#N/A</v>
      </c>
      <c r="K61" s="28" t="e">
        <f t="shared" si="21"/>
        <v>#N/A</v>
      </c>
      <c r="L61" s="74" t="str">
        <f t="shared" si="20"/>
        <v/>
      </c>
      <c r="Y61" s="149"/>
      <c r="Z61" s="149" t="s">
        <v>22</v>
      </c>
      <c r="AA61" s="136" t="e">
        <f>IF($L$2="Yes",IF(SUMIFS('DATA INPUT'!$E$3:$E$3000,'DATA INPUT'!$B$3:$B$3000,'Report Tables'!AA$1,'DATA INPUT'!$A$3:$A$3000,"&gt;="&amp;DATE(2021,11,1),'DATA INPUT'!$A$3:$A$3000,"&lt;"&amp;DATE(2021,11,31))=0,#N/A,(SUMIFS('DATA INPUT'!$E$3:$E$3000,'DATA INPUT'!$B$3:$B$3000,'Report Tables'!AA$1,'DATA INPUT'!$A$3:$A$3000,"&gt;="&amp;DATE(2021,11,1),'DATA INPUT'!$A$3:$A$3000,"&lt;"&amp;DATE(2021,11,31)))),IF(SUMIFS('DATA INPUT'!$E$3:$E$3000,'DATA INPUT'!$B$3:$B$3000,'Report Tables'!AA$1,'DATA INPUT'!$A$3:$A$3000,"&gt;="&amp;DATE(2021,11,1),'DATA INPUT'!$A$3:$A$3000,"&lt;"&amp;DATE(2021,11,31),'DATA INPUT'!$F$3:$F$3000,"&lt;&gt;*Exclude*")=0,#N/A,(SUMIFS('DATA INPUT'!$E$3:$E$3000,'DATA INPUT'!$B$3:$B$3000,'Report Tables'!AA$1,'DATA INPUT'!$A$3:$A$3000,"&gt;="&amp;DATE(2021,11,1),'DATA INPUT'!$A$3:$A$3000,"&lt;"&amp;DATE(2021,11,31),'DATA INPUT'!$F$3:$F$3000,"&lt;&gt;*Exclude*"))))</f>
        <v>#N/A</v>
      </c>
      <c r="AB61" s="136" t="e">
        <f>IF($L$2="Yes",IF(SUMIFS('DATA INPUT'!$E$3:$E$3000,'DATA INPUT'!$B$3:$B$3000,'Report Tables'!AB$1,'DATA INPUT'!$A$3:$A$3000,"&gt;="&amp;DATE(2021,11,1),'DATA INPUT'!$A$3:$A$3000,"&lt;"&amp;DATE(2021,11,31))=0,#N/A,(SUMIFS('DATA INPUT'!$E$3:$E$3000,'DATA INPUT'!$B$3:$B$3000,'Report Tables'!AB$1,'DATA INPUT'!$A$3:$A$3000,"&gt;="&amp;DATE(2021,11,1),'DATA INPUT'!$A$3:$A$3000,"&lt;"&amp;DATE(2021,11,31)))),IF(SUMIFS('DATA INPUT'!$E$3:$E$3000,'DATA INPUT'!$B$3:$B$3000,'Report Tables'!AB$1,'DATA INPUT'!$A$3:$A$3000,"&gt;="&amp;DATE(2021,11,1),'DATA INPUT'!$A$3:$A$3000,"&lt;"&amp;DATE(2021,11,31),'DATA INPUT'!$F$3:$F$3000,"&lt;&gt;*Exclude*")=0,#N/A,(SUMIFS('DATA INPUT'!$E$3:$E$3000,'DATA INPUT'!$B$3:$B$3000,'Report Tables'!AB$1,'DATA INPUT'!$A$3:$A$3000,"&gt;="&amp;DATE(2021,11,1),'DATA INPUT'!$A$3:$A$3000,"&lt;"&amp;DATE(2021,11,31),'DATA INPUT'!$F$3:$F$3000,"&lt;&gt;*Exclude*"))))</f>
        <v>#N/A</v>
      </c>
      <c r="AC61" s="136" t="e">
        <f>IF($L$2="Yes",IF(SUMIFS('DATA INPUT'!$E$3:$E$3000,'DATA INPUT'!$B$3:$B$3000,'Report Tables'!AC$1,'DATA INPUT'!$A$3:$A$3000,"&gt;="&amp;DATE(2021,11,1),'DATA INPUT'!$A$3:$A$3000,"&lt;"&amp;DATE(2021,11,31))=0,#N/A,(SUMIFS('DATA INPUT'!$E$3:$E$3000,'DATA INPUT'!$B$3:$B$3000,'Report Tables'!AC$1,'DATA INPUT'!$A$3:$A$3000,"&gt;="&amp;DATE(2021,11,1),'DATA INPUT'!$A$3:$A$3000,"&lt;"&amp;DATE(2021,11,31)))),IF(SUMIFS('DATA INPUT'!$E$3:$E$3000,'DATA INPUT'!$B$3:$B$3000,'Report Tables'!AC$1,'DATA INPUT'!$A$3:$A$3000,"&gt;="&amp;DATE(2021,11,1),'DATA INPUT'!$A$3:$A$3000,"&lt;"&amp;DATE(2021,11,31),'DATA INPUT'!$F$3:$F$3000,"&lt;&gt;*Exclude*")=0,#N/A,(SUMIFS('DATA INPUT'!$E$3:$E$3000,'DATA INPUT'!$B$3:$B$3000,'Report Tables'!AC$1,'DATA INPUT'!$A$3:$A$3000,"&gt;="&amp;DATE(2021,11,1),'DATA INPUT'!$A$3:$A$3000,"&lt;"&amp;DATE(2021,11,31),'DATA INPUT'!$F$3:$F$3000,"&lt;&gt;*Exclude*"))))</f>
        <v>#N/A</v>
      </c>
      <c r="AD61" s="136" t="e">
        <f>IF($L$2="Yes",IF(SUMIFS('DATA INPUT'!$E$3:$E$3000,'DATA INPUT'!$B$3:$B$3000,'Report Tables'!AD$1,'DATA INPUT'!$A$3:$A$3000,"&gt;="&amp;DATE(2021,11,1),'DATA INPUT'!$A$3:$A$3000,"&lt;"&amp;DATE(2021,11,31))=0,#N/A,(SUMIFS('DATA INPUT'!$E$3:$E$3000,'DATA INPUT'!$B$3:$B$3000,'Report Tables'!AD$1,'DATA INPUT'!$A$3:$A$3000,"&gt;="&amp;DATE(2021,11,1),'DATA INPUT'!$A$3:$A$3000,"&lt;"&amp;DATE(2021,11,31)))),IF(SUMIFS('DATA INPUT'!$E$3:$E$3000,'DATA INPUT'!$B$3:$B$3000,'Report Tables'!AD$1,'DATA INPUT'!$A$3:$A$3000,"&gt;="&amp;DATE(2021,11,1),'DATA INPUT'!$A$3:$A$3000,"&lt;"&amp;DATE(2021,11,31),'DATA INPUT'!$F$3:$F$3000,"&lt;&gt;*Exclude*")=0,#N/A,(SUMIFS('DATA INPUT'!$E$3:$E$3000,'DATA INPUT'!$B$3:$B$3000,'Report Tables'!AD$1,'DATA INPUT'!$A$3:$A$3000,"&gt;="&amp;DATE(2021,11,1),'DATA INPUT'!$A$3:$A$3000,"&lt;"&amp;DATE(2021,11,31),'DATA INPUT'!$F$3:$F$3000,"&lt;&gt;*Exclude*"))))</f>
        <v>#N/A</v>
      </c>
      <c r="AE61" s="136" t="e">
        <f>IF($L$2="Yes",IF(SUMIFS('DATA INPUT'!$E$3:$E$3000,'DATA INPUT'!$B$3:$B$3000,'Report Tables'!AE$1,'DATA INPUT'!$A$3:$A$3000,"&gt;="&amp;DATE(2021,11,1),'DATA INPUT'!$A$3:$A$3000,"&lt;"&amp;DATE(2021,11,31))=0,#N/A,(SUMIFS('DATA INPUT'!$E$3:$E$3000,'DATA INPUT'!$B$3:$B$3000,'Report Tables'!AE$1,'DATA INPUT'!$A$3:$A$3000,"&gt;="&amp;DATE(2021,11,1),'DATA INPUT'!$A$3:$A$3000,"&lt;"&amp;DATE(2021,11,31)))),IF(SUMIFS('DATA INPUT'!$E$3:$E$3000,'DATA INPUT'!$B$3:$B$3000,'Report Tables'!AE$1,'DATA INPUT'!$A$3:$A$3000,"&gt;="&amp;DATE(2021,11,1),'DATA INPUT'!$A$3:$A$3000,"&lt;"&amp;DATE(2021,11,31),'DATA INPUT'!$F$3:$F$3000,"&lt;&gt;*Exclude*")=0,#N/A,(SUMIFS('DATA INPUT'!$E$3:$E$3000,'DATA INPUT'!$B$3:$B$3000,'Report Tables'!AE$1,'DATA INPUT'!$A$3:$A$3000,"&gt;="&amp;DATE(2021,11,1),'DATA INPUT'!$A$3:$A$3000,"&lt;"&amp;DATE(2021,11,31),'DATA INPUT'!$F$3:$F$3000,"&lt;&gt;*Exclude*"))))</f>
        <v>#N/A</v>
      </c>
      <c r="AF61" s="136" t="e">
        <f>IF($L$2="Yes",IF(SUMIFS('DATA INPUT'!$E$3:$E$3000,'DATA INPUT'!$B$3:$B$3000,'Report Tables'!AF$1,'DATA INPUT'!$A$3:$A$3000,"&gt;="&amp;DATE(2021,11,1),'DATA INPUT'!$A$3:$A$3000,"&lt;"&amp;DATE(2021,11,31))=0,#N/A,(SUMIFS('DATA INPUT'!$E$3:$E$3000,'DATA INPUT'!$B$3:$B$3000,'Report Tables'!AF$1,'DATA INPUT'!$A$3:$A$3000,"&gt;="&amp;DATE(2021,11,1),'DATA INPUT'!$A$3:$A$3000,"&lt;"&amp;DATE(2021,11,31)))),IF(SUMIFS('DATA INPUT'!$E$3:$E$3000,'DATA INPUT'!$B$3:$B$3000,'Report Tables'!AF$1,'DATA INPUT'!$A$3:$A$3000,"&gt;="&amp;DATE(2021,11,1),'DATA INPUT'!$A$3:$A$3000,"&lt;"&amp;DATE(2021,11,31),'DATA INPUT'!$F$3:$F$3000,"&lt;&gt;*Exclude*")=0,#N/A,(SUMIFS('DATA INPUT'!$E$3:$E$3000,'DATA INPUT'!$B$3:$B$3000,'Report Tables'!AF$1,'DATA INPUT'!$A$3:$A$3000,"&gt;="&amp;DATE(2021,11,1),'DATA INPUT'!$A$3:$A$3000,"&lt;"&amp;DATE(2021,11,31),'DATA INPUT'!$F$3:$F$3000,"&lt;&gt;*Exclude*"))))</f>
        <v>#N/A</v>
      </c>
      <c r="AG61" s="136" t="e">
        <f>IF($L$2="Yes",IF(SUMIFS('DATA INPUT'!$E$3:$E$3000,'DATA INPUT'!$B$3:$B$3000,'Report Tables'!AG$1,'DATA INPUT'!$A$3:$A$3000,"&gt;="&amp;DATE(2021,11,1),'DATA INPUT'!$A$3:$A$3000,"&lt;"&amp;DATE(2021,11,31))=0,#N/A,(SUMIFS('DATA INPUT'!$E$3:$E$3000,'DATA INPUT'!$B$3:$B$3000,'Report Tables'!AG$1,'DATA INPUT'!$A$3:$A$3000,"&gt;="&amp;DATE(2021,11,1),'DATA INPUT'!$A$3:$A$3000,"&lt;"&amp;DATE(2021,11,31)))),IF(SUMIFS('DATA INPUT'!$E$3:$E$3000,'DATA INPUT'!$B$3:$B$3000,'Report Tables'!AG$1,'DATA INPUT'!$A$3:$A$3000,"&gt;="&amp;DATE(2021,11,1),'DATA INPUT'!$A$3:$A$3000,"&lt;"&amp;DATE(2021,11,31),'DATA INPUT'!$F$3:$F$3000,"&lt;&gt;*Exclude*")=0,#N/A,(SUMIFS('DATA INPUT'!$E$3:$E$3000,'DATA INPUT'!$B$3:$B$3000,'Report Tables'!AG$1,'DATA INPUT'!$A$3:$A$3000,"&gt;="&amp;DATE(2021,11,1),'DATA INPUT'!$A$3:$A$3000,"&lt;"&amp;DATE(2021,11,31),'DATA INPUT'!$F$3:$F$3000,"&lt;&gt;*Exclude*"))))</f>
        <v>#N/A</v>
      </c>
      <c r="AH61" s="136" t="e">
        <f>IF($L$2="Yes",IF(SUMIFS('DATA INPUT'!$E$3:$E$3000,'DATA INPUT'!$B$3:$B$3000,'Report Tables'!AH$1,'DATA INPUT'!$A$3:$A$3000,"&gt;="&amp;DATE(2021,11,1),'DATA INPUT'!$A$3:$A$3000,"&lt;"&amp;DATE(2021,11,31))=0,#N/A,(SUMIFS('DATA INPUT'!$E$3:$E$3000,'DATA INPUT'!$B$3:$B$3000,'Report Tables'!AH$1,'DATA INPUT'!$A$3:$A$3000,"&gt;="&amp;DATE(2021,11,1),'DATA INPUT'!$A$3:$A$3000,"&lt;"&amp;DATE(2021,11,31)))),IF(SUMIFS('DATA INPUT'!$E$3:$E$3000,'DATA INPUT'!$B$3:$B$3000,'Report Tables'!AH$1,'DATA INPUT'!$A$3:$A$3000,"&gt;="&amp;DATE(2021,11,1),'DATA INPUT'!$A$3:$A$3000,"&lt;"&amp;DATE(2021,11,31),'DATA INPUT'!$F$3:$F$3000,"&lt;&gt;*Exclude*")=0,#N/A,(SUMIFS('DATA INPUT'!$E$3:$E$3000,'DATA INPUT'!$B$3:$B$3000,'Report Tables'!AH$1,'DATA INPUT'!$A$3:$A$3000,"&gt;="&amp;DATE(2021,11,1),'DATA INPUT'!$A$3:$A$3000,"&lt;"&amp;DATE(2021,11,31),'DATA INPUT'!$F$3:$F$3000,"&lt;&gt;*Exclude*"))))</f>
        <v>#N/A</v>
      </c>
      <c r="AI61" s="136" t="e">
        <f t="shared" si="0"/>
        <v>#N/A</v>
      </c>
      <c r="AJ61" s="136" t="e">
        <f>IF($L$2="Yes",IF(SUMIFS('DATA INPUT'!$D$3:$D$3000,'DATA INPUT'!$A$3:$A$3000,"&gt;="&amp;DATE(2021,11,1),'DATA INPUT'!$A$3:$A$3000,"&lt;"&amp;DATE(2021,11,31),'DATA INPUT'!$G$3:$G$3000,"&lt;&gt;*School service*")=0,#N/A,(SUMIFS('DATA INPUT'!$D$3:$D$3000,'DATA INPUT'!$A$3:$A$3000,"&gt;="&amp;DATE(2021,11,1),'DATA INPUT'!$A$3:$A$3000,"&lt;"&amp;DATE(2021,11,31),'DATA INPUT'!$G$3:$G$3000,"&lt;&gt;*School service*"))),IF(SUMIFS('DATA INPUT'!$D$3:$D$3000,'DATA INPUT'!$A$3:$A$3000,"&gt;="&amp;DATE(2021,11,1),'DATA INPUT'!$A$3:$A$3000,"&lt;"&amp;DATE(2021,11,31),'DATA INPUT'!$F$3:$F$3000,"&lt;&gt;*Exclude*",'DATA INPUT'!$G$3:$G$3000,"&lt;&gt;*School service*")=0,#N/A,(SUMIFS('DATA INPUT'!$D$3:$D$3000,'DATA INPUT'!$A$3:$A$3000,"&gt;="&amp;DATE(2021,11,1),'DATA INPUT'!$A$3:$A$3000,"&lt;"&amp;DATE(2021,11,31),'DATA INPUT'!$F$3:$F$3000,"&lt;&gt;*Exclude*",'DATA INPUT'!$G$3:$G$3000,"&lt;&gt;*School service*"))))</f>
        <v>#N/A</v>
      </c>
      <c r="AK61" s="136" t="e">
        <f>AI61-AJ61</f>
        <v>#N/A</v>
      </c>
      <c r="AM61" s="117" t="e">
        <f>IF($L$2="Yes",IFERROR((SUMIFS('DATA INPUT'!$E$3:$E$3000,'DATA INPUT'!$B$3:$B$3000,'Report Tables'!AM$1,'DATA INPUT'!$A$3:$A$3000,"&gt;="&amp;DATE(2021,11,1),'DATA INPUT'!$A$3:$A$3000,"&lt;"&amp;DATE(2021,11,31)))/COUNTIFS('DATA INPUT'!$B$3:$B$3000,'Report Tables'!AM$1,'DATA INPUT'!$A$3:$A$3000,"&gt;="&amp;DATE(2021,11,1),'DATA INPUT'!$A$3:$A$3000,"&lt;"&amp;DATE(2021,11,31)),#N/A),IFERROR((SUMIFS('DATA INPUT'!$E$3:$E$3000,'DATA INPUT'!$B$3:$B$3000,'Report Tables'!AM$1,'DATA INPUT'!$A$3:$A$3000,"&gt;="&amp;DATE(2021,11,1),'DATA INPUT'!$A$3:$A$3000,"&lt;"&amp;DATE(2021,11,31),'DATA INPUT'!$F$3:$F$3000,"&lt;&gt;*Exclude*"))/(COUNTIFS('DATA INPUT'!$B$3:$B$3000,'Report Tables'!AM$1,'DATA INPUT'!$A$3:$A$3000,"&gt;="&amp;DATE(2021,11,1),'DATA INPUT'!$A$3:$A$3000,"&lt;"&amp;DATE(2021,11,31),'DATA INPUT'!$F$3:$F$3000,"&lt;&gt;*Exclude*")),#N/A))</f>
        <v>#N/A</v>
      </c>
      <c r="AN61" s="117" t="e">
        <f>IF($L$2="Yes",IFERROR((SUMIFS('DATA INPUT'!$E$3:$E$3000,'DATA INPUT'!$B$3:$B$3000,'Report Tables'!AN$1,'DATA INPUT'!$A$3:$A$3000,"&gt;="&amp;DATE(2021,11,1),'DATA INPUT'!$A$3:$A$3000,"&lt;"&amp;DATE(2021,11,31)))/COUNTIFS('DATA INPUT'!$B$3:$B$3000,'Report Tables'!AN$1,'DATA INPUT'!$A$3:$A$3000,"&gt;="&amp;DATE(2021,11,1),'DATA INPUT'!$A$3:$A$3000,"&lt;"&amp;DATE(2021,11,31)),#N/A),IFERROR((SUMIFS('DATA INPUT'!$E$3:$E$3000,'DATA INPUT'!$B$3:$B$3000,'Report Tables'!AN$1,'DATA INPUT'!$A$3:$A$3000,"&gt;="&amp;DATE(2021,11,1),'DATA INPUT'!$A$3:$A$3000,"&lt;"&amp;DATE(2021,11,31),'DATA INPUT'!$F$3:$F$3000,"&lt;&gt;*Exclude*"))/(COUNTIFS('DATA INPUT'!$B$3:$B$3000,'Report Tables'!AN$1,'DATA INPUT'!$A$3:$A$3000,"&gt;="&amp;DATE(2021,11,1),'DATA INPUT'!$A$3:$A$3000,"&lt;"&amp;DATE(2021,11,31),'DATA INPUT'!$F$3:$F$3000,"&lt;&gt;*Exclude*")),#N/A))</f>
        <v>#N/A</v>
      </c>
      <c r="AO61" s="117" t="e">
        <f>IF($L$2="Yes",IFERROR((SUMIFS('DATA INPUT'!$E$3:$E$3000,'DATA INPUT'!$B$3:$B$3000,'Report Tables'!AO$1,'DATA INPUT'!$A$3:$A$3000,"&gt;="&amp;DATE(2021,11,1),'DATA INPUT'!$A$3:$A$3000,"&lt;"&amp;DATE(2021,11,31)))/COUNTIFS('DATA INPUT'!$B$3:$B$3000,'Report Tables'!AO$1,'DATA INPUT'!$A$3:$A$3000,"&gt;="&amp;DATE(2021,11,1),'DATA INPUT'!$A$3:$A$3000,"&lt;"&amp;DATE(2021,11,31)),#N/A),IFERROR((SUMIFS('DATA INPUT'!$E$3:$E$3000,'DATA INPUT'!$B$3:$B$3000,'Report Tables'!AO$1,'DATA INPUT'!$A$3:$A$3000,"&gt;="&amp;DATE(2021,11,1),'DATA INPUT'!$A$3:$A$3000,"&lt;"&amp;DATE(2021,11,31),'DATA INPUT'!$F$3:$F$3000,"&lt;&gt;*Exclude*"))/(COUNTIFS('DATA INPUT'!$B$3:$B$3000,'Report Tables'!AO$1,'DATA INPUT'!$A$3:$A$3000,"&gt;="&amp;DATE(2021,11,1),'DATA INPUT'!$A$3:$A$3000,"&lt;"&amp;DATE(2021,11,31),'DATA INPUT'!$F$3:$F$3000,"&lt;&gt;*Exclude*")),#N/A))</f>
        <v>#N/A</v>
      </c>
      <c r="AP61" s="117" t="e">
        <f>IF($L$2="Yes",IFERROR((SUMIFS('DATA INPUT'!$E$3:$E$3000,'DATA INPUT'!$B$3:$B$3000,'Report Tables'!AP$1,'DATA INPUT'!$A$3:$A$3000,"&gt;="&amp;DATE(2021,11,1),'DATA INPUT'!$A$3:$A$3000,"&lt;"&amp;DATE(2021,11,31)))/COUNTIFS('DATA INPUT'!$B$3:$B$3000,'Report Tables'!AP$1,'DATA INPUT'!$A$3:$A$3000,"&gt;="&amp;DATE(2021,11,1),'DATA INPUT'!$A$3:$A$3000,"&lt;"&amp;DATE(2021,11,31)),#N/A),IFERROR((SUMIFS('DATA INPUT'!$E$3:$E$3000,'DATA INPUT'!$B$3:$B$3000,'Report Tables'!AP$1,'DATA INPUT'!$A$3:$A$3000,"&gt;="&amp;DATE(2021,11,1),'DATA INPUT'!$A$3:$A$3000,"&lt;"&amp;DATE(2021,11,31),'DATA INPUT'!$F$3:$F$3000,"&lt;&gt;*Exclude*"))/(COUNTIFS('DATA INPUT'!$B$3:$B$3000,'Report Tables'!AP$1,'DATA INPUT'!$A$3:$A$3000,"&gt;="&amp;DATE(2021,11,1),'DATA INPUT'!$A$3:$A$3000,"&lt;"&amp;DATE(2021,11,31),'DATA INPUT'!$F$3:$F$3000,"&lt;&gt;*Exclude*")),#N/A))</f>
        <v>#N/A</v>
      </c>
      <c r="AQ61" s="117" t="e">
        <f>IF($L$2="Yes",IFERROR((SUMIFS('DATA INPUT'!$E$3:$E$3000,'DATA INPUT'!$B$3:$B$3000,'Report Tables'!AQ$1,'DATA INPUT'!$A$3:$A$3000,"&gt;="&amp;DATE(2021,11,1),'DATA INPUT'!$A$3:$A$3000,"&lt;"&amp;DATE(2021,11,31)))/COUNTIFS('DATA INPUT'!$B$3:$B$3000,'Report Tables'!AQ$1,'DATA INPUT'!$A$3:$A$3000,"&gt;="&amp;DATE(2021,11,1),'DATA INPUT'!$A$3:$A$3000,"&lt;"&amp;DATE(2021,11,31)),#N/A),IFERROR((SUMIFS('DATA INPUT'!$E$3:$E$3000,'DATA INPUT'!$B$3:$B$3000,'Report Tables'!AQ$1,'DATA INPUT'!$A$3:$A$3000,"&gt;="&amp;DATE(2021,11,1),'DATA INPUT'!$A$3:$A$3000,"&lt;"&amp;DATE(2021,11,31),'DATA INPUT'!$F$3:$F$3000,"&lt;&gt;*Exclude*"))/(COUNTIFS('DATA INPUT'!$B$3:$B$3000,'Report Tables'!AQ$1,'DATA INPUT'!$A$3:$A$3000,"&gt;="&amp;DATE(2021,11,1),'DATA INPUT'!$A$3:$A$3000,"&lt;"&amp;DATE(2021,11,31),'DATA INPUT'!$F$3:$F$3000,"&lt;&gt;*Exclude*")),#N/A))</f>
        <v>#N/A</v>
      </c>
      <c r="AR61" s="117" t="e">
        <f>IF($L$2="Yes",IFERROR((SUMIFS('DATA INPUT'!$E$3:$E$3000,'DATA INPUT'!$B$3:$B$3000,'Report Tables'!AR$1,'DATA INPUT'!$A$3:$A$3000,"&gt;="&amp;DATE(2021,11,1),'DATA INPUT'!$A$3:$A$3000,"&lt;"&amp;DATE(2021,11,31)))/COUNTIFS('DATA INPUT'!$B$3:$B$3000,'Report Tables'!AR$1,'DATA INPUT'!$A$3:$A$3000,"&gt;="&amp;DATE(2021,11,1),'DATA INPUT'!$A$3:$A$3000,"&lt;"&amp;DATE(2021,11,31)),#N/A),IFERROR((SUMIFS('DATA INPUT'!$E$3:$E$3000,'DATA INPUT'!$B$3:$B$3000,'Report Tables'!AR$1,'DATA INPUT'!$A$3:$A$3000,"&gt;="&amp;DATE(2021,11,1),'DATA INPUT'!$A$3:$A$3000,"&lt;"&amp;DATE(2021,11,31),'DATA INPUT'!$F$3:$F$3000,"&lt;&gt;*Exclude*"))/(COUNTIFS('DATA INPUT'!$B$3:$B$3000,'Report Tables'!AR$1,'DATA INPUT'!$A$3:$A$3000,"&gt;="&amp;DATE(2021,11,1),'DATA INPUT'!$A$3:$A$3000,"&lt;"&amp;DATE(2021,11,31),'DATA INPUT'!$F$3:$F$3000,"&lt;&gt;*Exclude*")),#N/A))</f>
        <v>#N/A</v>
      </c>
      <c r="AS61" s="117" t="e">
        <f>IF($L$2="Yes",IFERROR((SUMIFS('DATA INPUT'!$E$3:$E$3000,'DATA INPUT'!$B$3:$B$3000,'Report Tables'!AS$1,'DATA INPUT'!$A$3:$A$3000,"&gt;="&amp;DATE(2021,11,1),'DATA INPUT'!$A$3:$A$3000,"&lt;"&amp;DATE(2021,11,31)))/COUNTIFS('DATA INPUT'!$B$3:$B$3000,'Report Tables'!AS$1,'DATA INPUT'!$A$3:$A$3000,"&gt;="&amp;DATE(2021,11,1),'DATA INPUT'!$A$3:$A$3000,"&lt;"&amp;DATE(2021,11,31)),#N/A),IFERROR((SUMIFS('DATA INPUT'!$E$3:$E$3000,'DATA INPUT'!$B$3:$B$3000,'Report Tables'!AS$1,'DATA INPUT'!$A$3:$A$3000,"&gt;="&amp;DATE(2021,11,1),'DATA INPUT'!$A$3:$A$3000,"&lt;"&amp;DATE(2021,11,31),'DATA INPUT'!$F$3:$F$3000,"&lt;&gt;*Exclude*"))/(COUNTIFS('DATA INPUT'!$B$3:$B$3000,'Report Tables'!AS$1,'DATA INPUT'!$A$3:$A$3000,"&gt;="&amp;DATE(2021,11,1),'DATA INPUT'!$A$3:$A$3000,"&lt;"&amp;DATE(2021,11,31),'DATA INPUT'!$F$3:$F$3000,"&lt;&gt;*Exclude*")),#N/A))</f>
        <v>#N/A</v>
      </c>
      <c r="AT61" s="117" t="e">
        <f>IF($L$2="Yes",IFERROR((SUMIFS('DATA INPUT'!$E$3:$E$3000,'DATA INPUT'!$B$3:$B$3000,'Report Tables'!AT$1,'DATA INPUT'!$A$3:$A$3000,"&gt;="&amp;DATE(2021,11,1),'DATA INPUT'!$A$3:$A$3000,"&lt;"&amp;DATE(2021,11,31)))/COUNTIFS('DATA INPUT'!$B$3:$B$3000,'Report Tables'!AT$1,'DATA INPUT'!$A$3:$A$3000,"&gt;="&amp;DATE(2021,11,1),'DATA INPUT'!$A$3:$A$3000,"&lt;"&amp;DATE(2021,11,31)),#N/A),IFERROR((SUMIFS('DATA INPUT'!$E$3:$E$3000,'DATA INPUT'!$B$3:$B$3000,'Report Tables'!AT$1,'DATA INPUT'!$A$3:$A$3000,"&gt;="&amp;DATE(2021,11,1),'DATA INPUT'!$A$3:$A$3000,"&lt;"&amp;DATE(2021,11,31),'DATA INPUT'!$F$3:$F$3000,"&lt;&gt;*Exclude*"))/(COUNTIFS('DATA INPUT'!$B$3:$B$3000,'Report Tables'!AT$1,'DATA INPUT'!$A$3:$A$3000,"&gt;="&amp;DATE(2021,11,1),'DATA INPUT'!$A$3:$A$3000,"&lt;"&amp;DATE(2021,11,31),'DATA INPUT'!$F$3:$F$3000,"&lt;&gt;*Exclude*")),#N/A))</f>
        <v>#N/A</v>
      </c>
      <c r="AU61" s="117" t="e">
        <f t="shared" si="1"/>
        <v>#N/A</v>
      </c>
      <c r="AV61" s="117" t="e">
        <f>IF($L$2="Yes",IFERROR((SUMIFS('DATA INPUT'!$D$3:$D$3000,'DATA INPUT'!$A$3:$A$3000,"&gt;="&amp;DATE(2021,11,1),'DATA INPUT'!$A$3:$A$3000,"&lt;"&amp;DATE(2021,11,31),'DATA INPUT'!$G$3:$G$3000,"&lt;&gt;*School service*"))/COUNTIFS('DATA INPUT'!$A$3:$A$3000,"&gt;="&amp;DATE(2021,11,1),'DATA INPUT'!$A$3:$A$3000,"&lt;"&amp;DATE(2021,11,31),'DATA INPUT'!$G$3:$G$3000,"&lt;&gt;*School service*",'DATA INPUT'!$D$3:$D$3000,"&lt;&gt;"&amp;""),#N/A),IFERROR((SUMIFS('DATA INPUT'!$D$3:$D$3000,'DATA INPUT'!$A$3:$A$3000,"&gt;="&amp;DATE(2021,11,1),'DATA INPUT'!$A$3:$A$3000,"&lt;"&amp;DATE(2021,11,31),'DATA INPUT'!$F$3:$F$3000,"&lt;&gt;*Exclude*",'DATA INPUT'!$G$3:$G$3000,"&lt;&gt;*School service*"))/(COUNTIFS('DATA INPUT'!$A$3:$A$3000,"&gt;="&amp;DATE(2021,11,1),'DATA INPUT'!$A$3:$A$3000,"&lt;"&amp;DATE(2021,11,31),'DATA INPUT'!$F$3:$F$3000,"&lt;&gt;*Exclude*",'DATA INPUT'!$G$3:$G$3000,"&lt;&gt;*School service*",'DATA INPUT'!$D$3:$D$3000,"&lt;&gt;"&amp;"")),#N/A))</f>
        <v>#N/A</v>
      </c>
      <c r="AW61" s="117" t="e">
        <f t="shared" si="2"/>
        <v>#N/A</v>
      </c>
      <c r="AX61" s="117" t="e">
        <f>IF($L$2="Yes",IFERROR((SUMIFS('DATA INPUT'!$E$3:$E$3000,'DATA INPUT'!$B$3:$B$3000,'Report Tables'!AX$1,'DATA INPUT'!$A$3:$A$3000,"&gt;="&amp;DATE(2021,11,1),'DATA INPUT'!$A$3:$A$3000,"&lt;"&amp;DATE(2021,11,31)))/COUNTIFS('DATA INPUT'!$B$3:$B$3000,'Report Tables'!AX$1,'DATA INPUT'!$A$3:$A$3000,"&gt;="&amp;DATE(2021,11,1),'DATA INPUT'!$A$3:$A$3000,"&lt;"&amp;DATE(2021,11,31)),#N/A),IFERROR((SUMIFS('DATA INPUT'!$E$3:$E$3000,'DATA INPUT'!$B$3:$B$3000,'Report Tables'!AX$1,'DATA INPUT'!$A$3:$A$3000,"&gt;="&amp;DATE(2021,11,1),'DATA INPUT'!$A$3:$A$3000,"&lt;"&amp;DATE(2021,11,31),'DATA INPUT'!$F$3:$F$3000,"&lt;&gt;*Exclude*"))/(COUNTIFS('DATA INPUT'!$B$3:$B$3000,'Report Tables'!AX$1,'DATA INPUT'!$A$3:$A$3000,"&gt;="&amp;DATE(2021,11,1),'DATA INPUT'!$A$3:$A$3000,"&lt;"&amp;DATE(2021,11,31),'DATA INPUT'!$F$3:$F$3000,"&lt;&gt;*Exclude*")),#N/A))</f>
        <v>#N/A</v>
      </c>
      <c r="AY61" s="117" t="e">
        <f>IF($L$2="Yes",IFERROR((SUMIFS('DATA INPUT'!$D$3:$D$3000,'DATA INPUT'!$B$3:$B$3000,'Report Tables'!AX$1,'DATA INPUT'!$A$3:$A$3000,"&gt;="&amp;DATE(2021,11,1),'DATA INPUT'!$A$3:$A$3000,"&lt;"&amp;DATE(2021,11,31)))/COUNTIFS('DATA INPUT'!$B$3:$B$3000,'Report Tables'!AX$1,'DATA INPUT'!$A$3:$A$3000,"&gt;="&amp;DATE(2021,11,1),'DATA INPUT'!$A$3:$A$3000,"&lt;"&amp;DATE(2021,11,31)),#N/A),IFERROR((SUMIFS('DATA INPUT'!$D$3:$D$3000,'DATA INPUT'!$B$3:$B$3000,'Report Tables'!AX$1,'DATA INPUT'!$A$3:$A$3000,"&gt;="&amp;DATE(2021,11,1),'DATA INPUT'!$A$3:$A$3000,"&lt;"&amp;DATE(2021,11,31),'DATA INPUT'!$F$3:$F$3000,"&lt;&gt;*Exclude*"))/(COUNTIFS('DATA INPUT'!$B$3:$B$3000,'Report Tables'!AX$1,'DATA INPUT'!$A$3:$A$3000,"&gt;="&amp;DATE(2021,11,1),'DATA INPUT'!$A$3:$A$3000,"&lt;"&amp;DATE(2021,11,31),'DATA INPUT'!$F$3:$F$3000,"&lt;&gt;*Exclude*")),#N/A))</f>
        <v>#N/A</v>
      </c>
      <c r="AZ61" s="117" t="e">
        <f>IF($L$2="Yes",IFERROR((SUMIFS('DATA INPUT'!$C$3:$C$3000,'DATA INPUT'!$B$3:$B$3000,'Report Tables'!AX$1,'DATA INPUT'!$A$3:$A$3000,"&gt;="&amp;DATE(2021,11,1),'DATA INPUT'!$A$3:$A$3000,"&lt;"&amp;DATE(2021,11,31)))/COUNTIFS('DATA INPUT'!$B$3:$B$3000,'Report Tables'!AX$1,'DATA INPUT'!$A$3:$A$3000,"&gt;="&amp;DATE(2021,11,1),'DATA INPUT'!$A$3:$A$3000,"&lt;"&amp;DATE(2021,11,31)),#N/A),IFERROR((SUMIFS('DATA INPUT'!$C$3:$C$3000,'DATA INPUT'!$B$3:$B$3000,'Report Tables'!AX$1,'DATA INPUT'!$A$3:$A$3000,"&gt;="&amp;DATE(2021,11,1),'DATA INPUT'!$A$3:$A$3000,"&lt;"&amp;DATE(2021,11,31),'DATA INPUT'!$F$3:$F$3000,"&lt;&gt;*Exclude*"))/(COUNTIFS('DATA INPUT'!$B$3:$B$3000,'Report Tables'!AX$1,'DATA INPUT'!$A$3:$A$3000,"&gt;="&amp;DATE(2021,11,1),'DATA INPUT'!$A$3:$A$3000,"&lt;"&amp;DATE(2021,11,31),'DATA INPUT'!$F$3:$F$3000,"&lt;&gt;*Exclude*")),#N/A))</f>
        <v>#N/A</v>
      </c>
    </row>
    <row r="62" spans="1:52" x14ac:dyDescent="0.3">
      <c r="B62" s="29" t="s">
        <v>92</v>
      </c>
      <c r="C62" s="28" t="e">
        <f t="shared" ref="C62:L62" si="22">IF((SUMIFS(C53:C60,$A$29:$A$36,"&lt;&gt;School Service",C53:C60,"&lt;&gt;#DIV/0!"))=0,#N/A,(SUMIFS(C53:C60,$A$29:$A$36,"&lt;&gt;School Service",C53:C60,"&lt;&gt;#DIV/0!")))</f>
        <v>#N/A</v>
      </c>
      <c r="D62" s="28" t="e">
        <f t="shared" si="22"/>
        <v>#N/A</v>
      </c>
      <c r="E62" s="28" t="e">
        <f t="shared" si="22"/>
        <v>#N/A</v>
      </c>
      <c r="F62" s="28" t="e">
        <f t="shared" si="22"/>
        <v>#N/A</v>
      </c>
      <c r="G62" s="28" t="e">
        <f t="shared" si="22"/>
        <v>#N/A</v>
      </c>
      <c r="H62" s="28" t="e">
        <f t="shared" si="22"/>
        <v>#N/A</v>
      </c>
      <c r="I62" s="28" t="e">
        <f t="shared" si="22"/>
        <v>#N/A</v>
      </c>
      <c r="J62" s="28" t="e">
        <f t="shared" si="22"/>
        <v>#N/A</v>
      </c>
      <c r="K62" s="28" t="e">
        <f t="shared" si="22"/>
        <v>#N/A</v>
      </c>
      <c r="L62" s="74" t="e">
        <f t="shared" si="22"/>
        <v>#N/A</v>
      </c>
      <c r="Y62" s="149"/>
      <c r="Z62" s="149" t="s">
        <v>23</v>
      </c>
      <c r="AA62" s="136" t="e">
        <f>IF($L$2="Yes",IF(SUMIFS('DATA INPUT'!$E$3:$E$3000,'DATA INPUT'!$B$3:$B$3000,'Report Tables'!AA$1,'DATA INPUT'!$A$3:$A$3000,"&gt;="&amp;DATE(2021,12,1),'DATA INPUT'!$A$3:$A$3000,"&lt;"&amp;DATE(2021,12,31))=0,#N/A,(SUMIFS('DATA INPUT'!$E$3:$E$3000,'DATA INPUT'!$B$3:$B$3000,'Report Tables'!AA$1,'DATA INPUT'!$A$3:$A$3000,"&gt;="&amp;DATE(2021,12,1),'DATA INPUT'!$A$3:$A$3000,"&lt;"&amp;DATE(2021,12,31)))),IF(SUMIFS('DATA INPUT'!$E$3:$E$3000,'DATA INPUT'!$B$3:$B$3000,'Report Tables'!AA$1,'DATA INPUT'!$A$3:$A$3000,"&gt;="&amp;DATE(2021,12,1),'DATA INPUT'!$A$3:$A$3000,"&lt;"&amp;DATE(2021,12,31),'DATA INPUT'!$F$3:$F$3000,"&lt;&gt;*Exclude*")=0,#N/A,(SUMIFS('DATA INPUT'!$E$3:$E$3000,'DATA INPUT'!$B$3:$B$3000,'Report Tables'!AA$1,'DATA INPUT'!$A$3:$A$3000,"&gt;="&amp;DATE(2021,12,1),'DATA INPUT'!$A$3:$A$3000,"&lt;"&amp;DATE(2021,12,31),'DATA INPUT'!$F$3:$F$3000,"&lt;&gt;*Exclude*"))))</f>
        <v>#N/A</v>
      </c>
      <c r="AB62" s="136" t="e">
        <f>IF($L$2="Yes",IF(SUMIFS('DATA INPUT'!$E$3:$E$3000,'DATA INPUT'!$B$3:$B$3000,'Report Tables'!AB$1,'DATA INPUT'!$A$3:$A$3000,"&gt;="&amp;DATE(2021,12,1),'DATA INPUT'!$A$3:$A$3000,"&lt;"&amp;DATE(2021,12,31))=0,#N/A,(SUMIFS('DATA INPUT'!$E$3:$E$3000,'DATA INPUT'!$B$3:$B$3000,'Report Tables'!AB$1,'DATA INPUT'!$A$3:$A$3000,"&gt;="&amp;DATE(2021,12,1),'DATA INPUT'!$A$3:$A$3000,"&lt;"&amp;DATE(2021,12,31)))),IF(SUMIFS('DATA INPUT'!$E$3:$E$3000,'DATA INPUT'!$B$3:$B$3000,'Report Tables'!AB$1,'DATA INPUT'!$A$3:$A$3000,"&gt;="&amp;DATE(2021,12,1),'DATA INPUT'!$A$3:$A$3000,"&lt;"&amp;DATE(2021,12,31),'DATA INPUT'!$F$3:$F$3000,"&lt;&gt;*Exclude*")=0,#N/A,(SUMIFS('DATA INPUT'!$E$3:$E$3000,'DATA INPUT'!$B$3:$B$3000,'Report Tables'!AB$1,'DATA INPUT'!$A$3:$A$3000,"&gt;="&amp;DATE(2021,12,1),'DATA INPUT'!$A$3:$A$3000,"&lt;"&amp;DATE(2021,12,31),'DATA INPUT'!$F$3:$F$3000,"&lt;&gt;*Exclude*"))))</f>
        <v>#N/A</v>
      </c>
      <c r="AC62" s="136" t="e">
        <f>IF($L$2="Yes",IF(SUMIFS('DATA INPUT'!$E$3:$E$3000,'DATA INPUT'!$B$3:$B$3000,'Report Tables'!AC$1,'DATA INPUT'!$A$3:$A$3000,"&gt;="&amp;DATE(2021,12,1),'DATA INPUT'!$A$3:$A$3000,"&lt;"&amp;DATE(2021,12,31))=0,#N/A,(SUMIFS('DATA INPUT'!$E$3:$E$3000,'DATA INPUT'!$B$3:$B$3000,'Report Tables'!AC$1,'DATA INPUT'!$A$3:$A$3000,"&gt;="&amp;DATE(2021,12,1),'DATA INPUT'!$A$3:$A$3000,"&lt;"&amp;DATE(2021,12,31)))),IF(SUMIFS('DATA INPUT'!$E$3:$E$3000,'DATA INPUT'!$B$3:$B$3000,'Report Tables'!AC$1,'DATA INPUT'!$A$3:$A$3000,"&gt;="&amp;DATE(2021,12,1),'DATA INPUT'!$A$3:$A$3000,"&lt;"&amp;DATE(2021,12,31),'DATA INPUT'!$F$3:$F$3000,"&lt;&gt;*Exclude*")=0,#N/A,(SUMIFS('DATA INPUT'!$E$3:$E$3000,'DATA INPUT'!$B$3:$B$3000,'Report Tables'!AC$1,'DATA INPUT'!$A$3:$A$3000,"&gt;="&amp;DATE(2021,12,1),'DATA INPUT'!$A$3:$A$3000,"&lt;"&amp;DATE(2021,12,31),'DATA INPUT'!$F$3:$F$3000,"&lt;&gt;*Exclude*"))))</f>
        <v>#N/A</v>
      </c>
      <c r="AD62" s="136" t="e">
        <f>IF($L$2="Yes",IF(SUMIFS('DATA INPUT'!$E$3:$E$3000,'DATA INPUT'!$B$3:$B$3000,'Report Tables'!AD$1,'DATA INPUT'!$A$3:$A$3000,"&gt;="&amp;DATE(2021,12,1),'DATA INPUT'!$A$3:$A$3000,"&lt;"&amp;DATE(2021,12,31))=0,#N/A,(SUMIFS('DATA INPUT'!$E$3:$E$3000,'DATA INPUT'!$B$3:$B$3000,'Report Tables'!AD$1,'DATA INPUT'!$A$3:$A$3000,"&gt;="&amp;DATE(2021,12,1),'DATA INPUT'!$A$3:$A$3000,"&lt;"&amp;DATE(2021,12,31)))),IF(SUMIFS('DATA INPUT'!$E$3:$E$3000,'DATA INPUT'!$B$3:$B$3000,'Report Tables'!AD$1,'DATA INPUT'!$A$3:$A$3000,"&gt;="&amp;DATE(2021,12,1),'DATA INPUT'!$A$3:$A$3000,"&lt;"&amp;DATE(2021,12,31),'DATA INPUT'!$F$3:$F$3000,"&lt;&gt;*Exclude*")=0,#N/A,(SUMIFS('DATA INPUT'!$E$3:$E$3000,'DATA INPUT'!$B$3:$B$3000,'Report Tables'!AD$1,'DATA INPUT'!$A$3:$A$3000,"&gt;="&amp;DATE(2021,12,1),'DATA INPUT'!$A$3:$A$3000,"&lt;"&amp;DATE(2021,12,31),'DATA INPUT'!$F$3:$F$3000,"&lt;&gt;*Exclude*"))))</f>
        <v>#N/A</v>
      </c>
      <c r="AE62" s="136" t="e">
        <f>IF($L$2="Yes",IF(SUMIFS('DATA INPUT'!$E$3:$E$3000,'DATA INPUT'!$B$3:$B$3000,'Report Tables'!AE$1,'DATA INPUT'!$A$3:$A$3000,"&gt;="&amp;DATE(2021,12,1),'DATA INPUT'!$A$3:$A$3000,"&lt;"&amp;DATE(2021,12,31))=0,#N/A,(SUMIFS('DATA INPUT'!$E$3:$E$3000,'DATA INPUT'!$B$3:$B$3000,'Report Tables'!AE$1,'DATA INPUT'!$A$3:$A$3000,"&gt;="&amp;DATE(2021,12,1),'DATA INPUT'!$A$3:$A$3000,"&lt;"&amp;DATE(2021,12,31)))),IF(SUMIFS('DATA INPUT'!$E$3:$E$3000,'DATA INPUT'!$B$3:$B$3000,'Report Tables'!AE$1,'DATA INPUT'!$A$3:$A$3000,"&gt;="&amp;DATE(2021,12,1),'DATA INPUT'!$A$3:$A$3000,"&lt;"&amp;DATE(2021,12,31),'DATA INPUT'!$F$3:$F$3000,"&lt;&gt;*Exclude*")=0,#N/A,(SUMIFS('DATA INPUT'!$E$3:$E$3000,'DATA INPUT'!$B$3:$B$3000,'Report Tables'!AE$1,'DATA INPUT'!$A$3:$A$3000,"&gt;="&amp;DATE(2021,12,1),'DATA INPUT'!$A$3:$A$3000,"&lt;"&amp;DATE(2021,12,31),'DATA INPUT'!$F$3:$F$3000,"&lt;&gt;*Exclude*"))))</f>
        <v>#N/A</v>
      </c>
      <c r="AF62" s="136" t="e">
        <f>IF($L$2="Yes",IF(SUMIFS('DATA INPUT'!$E$3:$E$3000,'DATA INPUT'!$B$3:$B$3000,'Report Tables'!AF$1,'DATA INPUT'!$A$3:$A$3000,"&gt;="&amp;DATE(2021,12,1),'DATA INPUT'!$A$3:$A$3000,"&lt;"&amp;DATE(2021,12,31))=0,#N/A,(SUMIFS('DATA INPUT'!$E$3:$E$3000,'DATA INPUT'!$B$3:$B$3000,'Report Tables'!AF$1,'DATA INPUT'!$A$3:$A$3000,"&gt;="&amp;DATE(2021,12,1),'DATA INPUT'!$A$3:$A$3000,"&lt;"&amp;DATE(2021,12,31)))),IF(SUMIFS('DATA INPUT'!$E$3:$E$3000,'DATA INPUT'!$B$3:$B$3000,'Report Tables'!AF$1,'DATA INPUT'!$A$3:$A$3000,"&gt;="&amp;DATE(2021,12,1),'DATA INPUT'!$A$3:$A$3000,"&lt;"&amp;DATE(2021,12,31),'DATA INPUT'!$F$3:$F$3000,"&lt;&gt;*Exclude*")=0,#N/A,(SUMIFS('DATA INPUT'!$E$3:$E$3000,'DATA INPUT'!$B$3:$B$3000,'Report Tables'!AF$1,'DATA INPUT'!$A$3:$A$3000,"&gt;="&amp;DATE(2021,12,1),'DATA INPUT'!$A$3:$A$3000,"&lt;"&amp;DATE(2021,12,31),'DATA INPUT'!$F$3:$F$3000,"&lt;&gt;*Exclude*"))))</f>
        <v>#N/A</v>
      </c>
      <c r="AG62" s="136" t="e">
        <f>IF($L$2="Yes",IF(SUMIFS('DATA INPUT'!$E$3:$E$3000,'DATA INPUT'!$B$3:$B$3000,'Report Tables'!AG$1,'DATA INPUT'!$A$3:$A$3000,"&gt;="&amp;DATE(2021,12,1),'DATA INPUT'!$A$3:$A$3000,"&lt;"&amp;DATE(2021,12,31))=0,#N/A,(SUMIFS('DATA INPUT'!$E$3:$E$3000,'DATA INPUT'!$B$3:$B$3000,'Report Tables'!AG$1,'DATA INPUT'!$A$3:$A$3000,"&gt;="&amp;DATE(2021,12,1),'DATA INPUT'!$A$3:$A$3000,"&lt;"&amp;DATE(2021,12,31)))),IF(SUMIFS('DATA INPUT'!$E$3:$E$3000,'DATA INPUT'!$B$3:$B$3000,'Report Tables'!AG$1,'DATA INPUT'!$A$3:$A$3000,"&gt;="&amp;DATE(2021,12,1),'DATA INPUT'!$A$3:$A$3000,"&lt;"&amp;DATE(2021,12,31),'DATA INPUT'!$F$3:$F$3000,"&lt;&gt;*Exclude*")=0,#N/A,(SUMIFS('DATA INPUT'!$E$3:$E$3000,'DATA INPUT'!$B$3:$B$3000,'Report Tables'!AG$1,'DATA INPUT'!$A$3:$A$3000,"&gt;="&amp;DATE(2021,12,1),'DATA INPUT'!$A$3:$A$3000,"&lt;"&amp;DATE(2021,12,31),'DATA INPUT'!$F$3:$F$3000,"&lt;&gt;*Exclude*"))))</f>
        <v>#N/A</v>
      </c>
      <c r="AH62" s="136" t="e">
        <f>IF($L$2="Yes",IF(SUMIFS('DATA INPUT'!$E$3:$E$3000,'DATA INPUT'!$B$3:$B$3000,'Report Tables'!AH$1,'DATA INPUT'!$A$3:$A$3000,"&gt;="&amp;DATE(2021,12,1),'DATA INPUT'!$A$3:$A$3000,"&lt;"&amp;DATE(2021,12,31))=0,#N/A,(SUMIFS('DATA INPUT'!$E$3:$E$3000,'DATA INPUT'!$B$3:$B$3000,'Report Tables'!AH$1,'DATA INPUT'!$A$3:$A$3000,"&gt;="&amp;DATE(2021,12,1),'DATA INPUT'!$A$3:$A$3000,"&lt;"&amp;DATE(2021,12,31)))),IF(SUMIFS('DATA INPUT'!$E$3:$E$3000,'DATA INPUT'!$B$3:$B$3000,'Report Tables'!AH$1,'DATA INPUT'!$A$3:$A$3000,"&gt;="&amp;DATE(2021,12,1),'DATA INPUT'!$A$3:$A$3000,"&lt;"&amp;DATE(2021,12,31),'DATA INPUT'!$F$3:$F$3000,"&lt;&gt;*Exclude*")=0,#N/A,(SUMIFS('DATA INPUT'!$E$3:$E$3000,'DATA INPUT'!$B$3:$B$3000,'Report Tables'!AH$1,'DATA INPUT'!$A$3:$A$3000,"&gt;="&amp;DATE(2021,12,1),'DATA INPUT'!$A$3:$A$3000,"&lt;"&amp;DATE(2021,12,31),'DATA INPUT'!$F$3:$F$3000,"&lt;&gt;*Exclude*"))))</f>
        <v>#N/A</v>
      </c>
      <c r="AI62" s="136" t="e">
        <f t="shared" si="0"/>
        <v>#N/A</v>
      </c>
      <c r="AJ62" s="136" t="e">
        <f>IF($L$2="Yes",IF(SUMIFS('DATA INPUT'!$D$3:$D$3000,'DATA INPUT'!$A$3:$A$3000,"&gt;="&amp;DATE(2021,12,1),'DATA INPUT'!$A$3:$A$3000,"&lt;"&amp;DATE(2021,12,31),'DATA INPUT'!$G$3:$G$3000,"&lt;&gt;*School service*")=0,#N/A,(SUMIFS('DATA INPUT'!$D$3:$D$3000,'DATA INPUT'!$A$3:$A$3000,"&gt;="&amp;DATE(2021,12,1),'DATA INPUT'!$A$3:$A$3000,"&lt;"&amp;DATE(2021,12,31),'DATA INPUT'!$G$3:$G$3000,"&lt;&gt;*School service*"))),IF(SUMIFS('DATA INPUT'!$D$3:$D$3000,'DATA INPUT'!$A$3:$A$3000,"&gt;="&amp;DATE(2021,12,1),'DATA INPUT'!$A$3:$A$3000,"&lt;"&amp;DATE(2021,12,31),'DATA INPUT'!$F$3:$F$3000,"&lt;&gt;*Exclude*",'DATA INPUT'!$G$3:$G$3000,"&lt;&gt;*School service*")=0,#N/A,(SUMIFS('DATA INPUT'!$D$3:$D$3000,'DATA INPUT'!$A$3:$A$3000,"&gt;="&amp;DATE(2021,12,1),'DATA INPUT'!$A$3:$A$3000,"&lt;"&amp;DATE(2021,12,31),'DATA INPUT'!$F$3:$F$3000,"&lt;&gt;*Exclude*",'DATA INPUT'!$G$3:$G$3000,"&lt;&gt;*School service*"))))</f>
        <v>#N/A</v>
      </c>
      <c r="AK62" s="136" t="e">
        <f>AI62-AJ62</f>
        <v>#N/A</v>
      </c>
      <c r="AM62" s="117" t="e">
        <f>IF($L$2="Yes",IFERROR((SUMIFS('DATA INPUT'!$E$3:$E$3000,'DATA INPUT'!$B$3:$B$3000,'Report Tables'!AM$1,'DATA INPUT'!$A$3:$A$3000,"&gt;="&amp;DATE(2021,12,1),'DATA INPUT'!$A$3:$A$3000,"&lt;"&amp;DATE(2021,12,31)))/COUNTIFS('DATA INPUT'!$B$3:$B$3000,'Report Tables'!AM$1,'DATA INPUT'!$A$3:$A$3000,"&gt;="&amp;DATE(2021,12,1),'DATA INPUT'!$A$3:$A$3000,"&lt;"&amp;DATE(2021,12,31)),#N/A),IFERROR((SUMIFS('DATA INPUT'!$E$3:$E$3000,'DATA INPUT'!$B$3:$B$3000,'Report Tables'!AM$1,'DATA INPUT'!$A$3:$A$3000,"&gt;="&amp;DATE(2021,12,1),'DATA INPUT'!$A$3:$A$3000,"&lt;"&amp;DATE(2021,12,31),'DATA INPUT'!$F$3:$F$3000,"&lt;&gt;*Exclude*"))/(COUNTIFS('DATA INPUT'!$B$3:$B$3000,'Report Tables'!AM$1,'DATA INPUT'!$A$3:$A$3000,"&gt;="&amp;DATE(2021,12,1),'DATA INPUT'!$A$3:$A$3000,"&lt;"&amp;DATE(2021,12,31),'DATA INPUT'!$F$3:$F$3000,"&lt;&gt;*Exclude*")),#N/A))</f>
        <v>#N/A</v>
      </c>
      <c r="AN62" s="117" t="e">
        <f>IF($L$2="Yes",IFERROR((SUMIFS('DATA INPUT'!$E$3:$E$3000,'DATA INPUT'!$B$3:$B$3000,'Report Tables'!AN$1,'DATA INPUT'!$A$3:$A$3000,"&gt;="&amp;DATE(2021,12,1),'DATA INPUT'!$A$3:$A$3000,"&lt;"&amp;DATE(2021,12,31)))/COUNTIFS('DATA INPUT'!$B$3:$B$3000,'Report Tables'!AN$1,'DATA INPUT'!$A$3:$A$3000,"&gt;="&amp;DATE(2021,12,1),'DATA INPUT'!$A$3:$A$3000,"&lt;"&amp;DATE(2021,12,31)),#N/A),IFERROR((SUMIFS('DATA INPUT'!$E$3:$E$3000,'DATA INPUT'!$B$3:$B$3000,'Report Tables'!AN$1,'DATA INPUT'!$A$3:$A$3000,"&gt;="&amp;DATE(2021,12,1),'DATA INPUT'!$A$3:$A$3000,"&lt;"&amp;DATE(2021,12,31),'DATA INPUT'!$F$3:$F$3000,"&lt;&gt;*Exclude*"))/(COUNTIFS('DATA INPUT'!$B$3:$B$3000,'Report Tables'!AN$1,'DATA INPUT'!$A$3:$A$3000,"&gt;="&amp;DATE(2021,12,1),'DATA INPUT'!$A$3:$A$3000,"&lt;"&amp;DATE(2021,12,31),'DATA INPUT'!$F$3:$F$3000,"&lt;&gt;*Exclude*")),#N/A))</f>
        <v>#N/A</v>
      </c>
      <c r="AO62" s="117" t="e">
        <f>IF($L$2="Yes",IFERROR((SUMIFS('DATA INPUT'!$E$3:$E$3000,'DATA INPUT'!$B$3:$B$3000,'Report Tables'!AO$1,'DATA INPUT'!$A$3:$A$3000,"&gt;="&amp;DATE(2021,12,1),'DATA INPUT'!$A$3:$A$3000,"&lt;"&amp;DATE(2021,12,31)))/COUNTIFS('DATA INPUT'!$B$3:$B$3000,'Report Tables'!AO$1,'DATA INPUT'!$A$3:$A$3000,"&gt;="&amp;DATE(2021,12,1),'DATA INPUT'!$A$3:$A$3000,"&lt;"&amp;DATE(2021,12,31)),#N/A),IFERROR((SUMIFS('DATA INPUT'!$E$3:$E$3000,'DATA INPUT'!$B$3:$B$3000,'Report Tables'!AO$1,'DATA INPUT'!$A$3:$A$3000,"&gt;="&amp;DATE(2021,12,1),'DATA INPUT'!$A$3:$A$3000,"&lt;"&amp;DATE(2021,12,31),'DATA INPUT'!$F$3:$F$3000,"&lt;&gt;*Exclude*"))/(COUNTIFS('DATA INPUT'!$B$3:$B$3000,'Report Tables'!AO$1,'DATA INPUT'!$A$3:$A$3000,"&gt;="&amp;DATE(2021,12,1),'DATA INPUT'!$A$3:$A$3000,"&lt;"&amp;DATE(2021,12,31),'DATA INPUT'!$F$3:$F$3000,"&lt;&gt;*Exclude*")),#N/A))</f>
        <v>#N/A</v>
      </c>
      <c r="AP62" s="117" t="e">
        <f>IF($L$2="Yes",IFERROR((SUMIFS('DATA INPUT'!$E$3:$E$3000,'DATA INPUT'!$B$3:$B$3000,'Report Tables'!AP$1,'DATA INPUT'!$A$3:$A$3000,"&gt;="&amp;DATE(2021,12,1),'DATA INPUT'!$A$3:$A$3000,"&lt;"&amp;DATE(2021,12,31)))/COUNTIFS('DATA INPUT'!$B$3:$B$3000,'Report Tables'!AP$1,'DATA INPUT'!$A$3:$A$3000,"&gt;="&amp;DATE(2021,12,1),'DATA INPUT'!$A$3:$A$3000,"&lt;"&amp;DATE(2021,12,31)),#N/A),IFERROR((SUMIFS('DATA INPUT'!$E$3:$E$3000,'DATA INPUT'!$B$3:$B$3000,'Report Tables'!AP$1,'DATA INPUT'!$A$3:$A$3000,"&gt;="&amp;DATE(2021,12,1),'DATA INPUT'!$A$3:$A$3000,"&lt;"&amp;DATE(2021,12,31),'DATA INPUT'!$F$3:$F$3000,"&lt;&gt;*Exclude*"))/(COUNTIFS('DATA INPUT'!$B$3:$B$3000,'Report Tables'!AP$1,'DATA INPUT'!$A$3:$A$3000,"&gt;="&amp;DATE(2021,12,1),'DATA INPUT'!$A$3:$A$3000,"&lt;"&amp;DATE(2021,12,31),'DATA INPUT'!$F$3:$F$3000,"&lt;&gt;*Exclude*")),#N/A))</f>
        <v>#N/A</v>
      </c>
      <c r="AQ62" s="117" t="e">
        <f>IF($L$2="Yes",IFERROR((SUMIFS('DATA INPUT'!$E$3:$E$3000,'DATA INPUT'!$B$3:$B$3000,'Report Tables'!AQ$1,'DATA INPUT'!$A$3:$A$3000,"&gt;="&amp;DATE(2021,12,1),'DATA INPUT'!$A$3:$A$3000,"&lt;"&amp;DATE(2021,12,31)))/COUNTIFS('DATA INPUT'!$B$3:$B$3000,'Report Tables'!AQ$1,'DATA INPUT'!$A$3:$A$3000,"&gt;="&amp;DATE(2021,12,1),'DATA INPUT'!$A$3:$A$3000,"&lt;"&amp;DATE(2021,12,31)),#N/A),IFERROR((SUMIFS('DATA INPUT'!$E$3:$E$3000,'DATA INPUT'!$B$3:$B$3000,'Report Tables'!AQ$1,'DATA INPUT'!$A$3:$A$3000,"&gt;="&amp;DATE(2021,12,1),'DATA INPUT'!$A$3:$A$3000,"&lt;"&amp;DATE(2021,12,31),'DATA INPUT'!$F$3:$F$3000,"&lt;&gt;*Exclude*"))/(COUNTIFS('DATA INPUT'!$B$3:$B$3000,'Report Tables'!AQ$1,'DATA INPUT'!$A$3:$A$3000,"&gt;="&amp;DATE(2021,12,1),'DATA INPUT'!$A$3:$A$3000,"&lt;"&amp;DATE(2021,12,31),'DATA INPUT'!$F$3:$F$3000,"&lt;&gt;*Exclude*")),#N/A))</f>
        <v>#N/A</v>
      </c>
      <c r="AR62" s="117" t="e">
        <f>IF($L$2="Yes",IFERROR((SUMIFS('DATA INPUT'!$E$3:$E$3000,'DATA INPUT'!$B$3:$B$3000,'Report Tables'!AR$1,'DATA INPUT'!$A$3:$A$3000,"&gt;="&amp;DATE(2021,12,1),'DATA INPUT'!$A$3:$A$3000,"&lt;"&amp;DATE(2021,12,31)))/COUNTIFS('DATA INPUT'!$B$3:$B$3000,'Report Tables'!AR$1,'DATA INPUT'!$A$3:$A$3000,"&gt;="&amp;DATE(2021,12,1),'DATA INPUT'!$A$3:$A$3000,"&lt;"&amp;DATE(2021,12,31)),#N/A),IFERROR((SUMIFS('DATA INPUT'!$E$3:$E$3000,'DATA INPUT'!$B$3:$B$3000,'Report Tables'!AR$1,'DATA INPUT'!$A$3:$A$3000,"&gt;="&amp;DATE(2021,12,1),'DATA INPUT'!$A$3:$A$3000,"&lt;"&amp;DATE(2021,12,31),'DATA INPUT'!$F$3:$F$3000,"&lt;&gt;*Exclude*"))/(COUNTIFS('DATA INPUT'!$B$3:$B$3000,'Report Tables'!AR$1,'DATA INPUT'!$A$3:$A$3000,"&gt;="&amp;DATE(2021,12,1),'DATA INPUT'!$A$3:$A$3000,"&lt;"&amp;DATE(2021,12,31),'DATA INPUT'!$F$3:$F$3000,"&lt;&gt;*Exclude*")),#N/A))</f>
        <v>#N/A</v>
      </c>
      <c r="AS62" s="117" t="e">
        <f>IF($L$2="Yes",IFERROR((SUMIFS('DATA INPUT'!$E$3:$E$3000,'DATA INPUT'!$B$3:$B$3000,'Report Tables'!AS$1,'DATA INPUT'!$A$3:$A$3000,"&gt;="&amp;DATE(2021,12,1),'DATA INPUT'!$A$3:$A$3000,"&lt;"&amp;DATE(2021,12,31)))/COUNTIFS('DATA INPUT'!$B$3:$B$3000,'Report Tables'!AS$1,'DATA INPUT'!$A$3:$A$3000,"&gt;="&amp;DATE(2021,12,1),'DATA INPUT'!$A$3:$A$3000,"&lt;"&amp;DATE(2021,12,31)),#N/A),IFERROR((SUMIFS('DATA INPUT'!$E$3:$E$3000,'DATA INPUT'!$B$3:$B$3000,'Report Tables'!AS$1,'DATA INPUT'!$A$3:$A$3000,"&gt;="&amp;DATE(2021,12,1),'DATA INPUT'!$A$3:$A$3000,"&lt;"&amp;DATE(2021,12,31),'DATA INPUT'!$F$3:$F$3000,"&lt;&gt;*Exclude*"))/(COUNTIFS('DATA INPUT'!$B$3:$B$3000,'Report Tables'!AS$1,'DATA INPUT'!$A$3:$A$3000,"&gt;="&amp;DATE(2021,12,1),'DATA INPUT'!$A$3:$A$3000,"&lt;"&amp;DATE(2021,12,31),'DATA INPUT'!$F$3:$F$3000,"&lt;&gt;*Exclude*")),#N/A))</f>
        <v>#N/A</v>
      </c>
      <c r="AT62" s="117" t="e">
        <f>IF($L$2="Yes",IFERROR((SUMIFS('DATA INPUT'!$E$3:$E$3000,'DATA INPUT'!$B$3:$B$3000,'Report Tables'!AT$1,'DATA INPUT'!$A$3:$A$3000,"&gt;="&amp;DATE(2021,12,1),'DATA INPUT'!$A$3:$A$3000,"&lt;"&amp;DATE(2021,12,31)))/COUNTIFS('DATA INPUT'!$B$3:$B$3000,'Report Tables'!AT$1,'DATA INPUT'!$A$3:$A$3000,"&gt;="&amp;DATE(2021,12,1),'DATA INPUT'!$A$3:$A$3000,"&lt;"&amp;DATE(2021,12,31)),#N/A),IFERROR((SUMIFS('DATA INPUT'!$E$3:$E$3000,'DATA INPUT'!$B$3:$B$3000,'Report Tables'!AT$1,'DATA INPUT'!$A$3:$A$3000,"&gt;="&amp;DATE(2021,12,1),'DATA INPUT'!$A$3:$A$3000,"&lt;"&amp;DATE(2021,12,31),'DATA INPUT'!$F$3:$F$3000,"&lt;&gt;*Exclude*"))/(COUNTIFS('DATA INPUT'!$B$3:$B$3000,'Report Tables'!AT$1,'DATA INPUT'!$A$3:$A$3000,"&gt;="&amp;DATE(2021,12,1),'DATA INPUT'!$A$3:$A$3000,"&lt;"&amp;DATE(2021,12,31),'DATA INPUT'!$F$3:$F$3000,"&lt;&gt;*Exclude*")),#N/A))</f>
        <v>#N/A</v>
      </c>
      <c r="AU62" s="117" t="e">
        <f t="shared" si="1"/>
        <v>#N/A</v>
      </c>
      <c r="AV62" s="117" t="e">
        <f>IF($L$2="Yes",IFERROR((SUMIFS('DATA INPUT'!$D$3:$D$3000,'DATA INPUT'!$A$3:$A$3000,"&gt;="&amp;DATE(2021,12,1),'DATA INPUT'!$A$3:$A$3000,"&lt;"&amp;DATE(2021,12,31),'DATA INPUT'!$G$3:$G$3000,"&lt;&gt;*School service*"))/COUNTIFS('DATA INPUT'!$A$3:$A$3000,"&gt;="&amp;DATE(2021,12,1),'DATA INPUT'!$A$3:$A$3000,"&lt;"&amp;DATE(2021,12,31),'DATA INPUT'!$G$3:$G$3000,"&lt;&gt;*School service*",'DATA INPUT'!$D$3:$D$3000,"&lt;&gt;"&amp;""),#N/A),IFERROR((SUMIFS('DATA INPUT'!$D$3:$D$3000,'DATA INPUT'!$A$3:$A$3000,"&gt;="&amp;DATE(2021,12,1),'DATA INPUT'!$A$3:$A$3000,"&lt;"&amp;DATE(2021,12,31),'DATA INPUT'!$F$3:$F$3000,"&lt;&gt;*Exclude*",'DATA INPUT'!$G$3:$G$3000,"&lt;&gt;*School service*"))/(COUNTIFS('DATA INPUT'!$A$3:$A$3000,"&gt;="&amp;DATE(2021,12,1),'DATA INPUT'!$A$3:$A$3000,"&lt;"&amp;DATE(2021,12,31),'DATA INPUT'!$F$3:$F$3000,"&lt;&gt;*Exclude*",'DATA INPUT'!$G$3:$G$3000,"&lt;&gt;*School service*",'DATA INPUT'!$D$3:$D$3000,"&lt;&gt;"&amp;"")),#N/A))</f>
        <v>#N/A</v>
      </c>
      <c r="AW62" s="117" t="e">
        <f t="shared" si="2"/>
        <v>#N/A</v>
      </c>
      <c r="AX62" s="117" t="e">
        <f>IF($L$2="Yes",IFERROR((SUMIFS('DATA INPUT'!$E$3:$E$3000,'DATA INPUT'!$B$3:$B$3000,'Report Tables'!AX$1,'DATA INPUT'!$A$3:$A$3000,"&gt;="&amp;DATE(2021,12,1),'DATA INPUT'!$A$3:$A$3000,"&lt;"&amp;DATE(2021,12,31)))/COUNTIFS('DATA INPUT'!$B$3:$B$3000,'Report Tables'!AX$1,'DATA INPUT'!$A$3:$A$3000,"&gt;="&amp;DATE(2021,12,1),'DATA INPUT'!$A$3:$A$3000,"&lt;"&amp;DATE(2021,12,31)),#N/A),IFERROR((SUMIFS('DATA INPUT'!$E$3:$E$3000,'DATA INPUT'!$B$3:$B$3000,'Report Tables'!AX$1,'DATA INPUT'!$A$3:$A$3000,"&gt;="&amp;DATE(2021,12,1),'DATA INPUT'!$A$3:$A$3000,"&lt;"&amp;DATE(2021,12,31),'DATA INPUT'!$F$3:$F$3000,"&lt;&gt;*Exclude*"))/(COUNTIFS('DATA INPUT'!$B$3:$B$3000,'Report Tables'!AX$1,'DATA INPUT'!$A$3:$A$3000,"&gt;="&amp;DATE(2021,12,1),'DATA INPUT'!$A$3:$A$3000,"&lt;"&amp;DATE(2021,12,31),'DATA INPUT'!$F$3:$F$3000,"&lt;&gt;*Exclude*")),#N/A))</f>
        <v>#N/A</v>
      </c>
      <c r="AY62" s="117" t="e">
        <f>IF($L$2="Yes",IFERROR((SUMIFS('DATA INPUT'!$D$3:$D$3000,'DATA INPUT'!$B$3:$B$3000,'Report Tables'!AX$1,'DATA INPUT'!$A$3:$A$3000,"&gt;="&amp;DATE(2021,12,1),'DATA INPUT'!$A$3:$A$3000,"&lt;"&amp;DATE(2021,12,31)))/COUNTIFS('DATA INPUT'!$B$3:$B$3000,'Report Tables'!AX$1,'DATA INPUT'!$A$3:$A$3000,"&gt;="&amp;DATE(2021,12,1),'DATA INPUT'!$A$3:$A$3000,"&lt;"&amp;DATE(2021,12,31)),#N/A),IFERROR((SUMIFS('DATA INPUT'!$D$3:$D$3000,'DATA INPUT'!$B$3:$B$3000,'Report Tables'!AX$1,'DATA INPUT'!$A$3:$A$3000,"&gt;="&amp;DATE(2021,12,1),'DATA INPUT'!$A$3:$A$3000,"&lt;"&amp;DATE(2021,12,31),'DATA INPUT'!$F$3:$F$3000,"&lt;&gt;*Exclude*"))/(COUNTIFS('DATA INPUT'!$B$3:$B$3000,'Report Tables'!AX$1,'DATA INPUT'!$A$3:$A$3000,"&gt;="&amp;DATE(2021,12,1),'DATA INPUT'!$A$3:$A$3000,"&lt;"&amp;DATE(2021,12,31),'DATA INPUT'!$F$3:$F$3000,"&lt;&gt;*Exclude*")),#N/A))</f>
        <v>#N/A</v>
      </c>
      <c r="AZ62" s="117" t="e">
        <f>IF($L$2="Yes",IFERROR((SUMIFS('DATA INPUT'!$C$3:$C$3000,'DATA INPUT'!$B$3:$B$3000,'Report Tables'!AX$1,'DATA INPUT'!$A$3:$A$3000,"&gt;="&amp;DATE(2021,12,1),'DATA INPUT'!$A$3:$A$3000,"&lt;"&amp;DATE(2021,12,31)))/COUNTIFS('DATA INPUT'!$B$3:$B$3000,'Report Tables'!AX$1,'DATA INPUT'!$A$3:$A$3000,"&gt;="&amp;DATE(2021,12,1),'DATA INPUT'!$A$3:$A$3000,"&lt;"&amp;DATE(2021,12,31)),#N/A),IFERROR((SUMIFS('DATA INPUT'!$C$3:$C$3000,'DATA INPUT'!$B$3:$B$3000,'Report Tables'!AX$1,'DATA INPUT'!$A$3:$A$3000,"&gt;="&amp;DATE(2021,12,1),'DATA INPUT'!$A$3:$A$3000,"&lt;"&amp;DATE(2021,12,31),'DATA INPUT'!$F$3:$F$3000,"&lt;&gt;*Exclude*"))/(COUNTIFS('DATA INPUT'!$B$3:$B$3000,'Report Tables'!AX$1,'DATA INPUT'!$A$3:$A$3000,"&gt;="&amp;DATE(2021,12,1),'DATA INPUT'!$A$3:$A$3000,"&lt;"&amp;DATE(2021,12,31),'DATA INPUT'!$F$3:$F$3000,"&lt;&gt;*Exclude*")),#N/A))</f>
        <v>#N/A</v>
      </c>
    </row>
    <row r="63" spans="1:52" x14ac:dyDescent="0.3">
      <c r="Y63" s="149">
        <v>2022</v>
      </c>
      <c r="Z63" s="149" t="s">
        <v>12</v>
      </c>
      <c r="AA63" s="136" t="e">
        <f>IF($L$2="Yes",IF(SUMIFS('DATA INPUT'!$E$3:$E$3000,'DATA INPUT'!$B$3:$B$3000,'Report Tables'!AA$1,'DATA INPUT'!$A$3:$A$3000,"&gt;="&amp;DATE(2022,1,1),'DATA INPUT'!$A$3:$A$3000,"&lt;"&amp;DATE(2022,1,31))=0,#N/A,(SUMIFS('DATA INPUT'!$E$3:$E$3000,'DATA INPUT'!$B$3:$B$3000,'Report Tables'!AA$1,'DATA INPUT'!$A$3:$A$3000,"&gt;="&amp;DATE(2022,1,1),'DATA INPUT'!$A$3:$A$3000,"&lt;"&amp;DATE(2022,1,31)))),IF(SUMIFS('DATA INPUT'!$E$3:$E$3000,'DATA INPUT'!$B$3:$B$3000,'Report Tables'!AA$1,'DATA INPUT'!$A$3:$A$3000,"&gt;="&amp;DATE(2022,1,1),'DATA INPUT'!$A$3:$A$3000,"&lt;"&amp;DATE(2022,1,31),'DATA INPUT'!$F$3:$F$3000,"&lt;&gt;*Exclude*")=0,#N/A,(SUMIFS('DATA INPUT'!$E$3:$E$3000,'DATA INPUT'!$B$3:$B$3000,'Report Tables'!AA$1,'DATA INPUT'!$A$3:$A$3000,"&gt;="&amp;DATE(2022,1,1),'DATA INPUT'!$A$3:$A$3000,"&lt;"&amp;DATE(2022,1,31),'DATA INPUT'!$F$3:$F$3000,"&lt;&gt;*Exclude*"))))</f>
        <v>#N/A</v>
      </c>
      <c r="AB63" s="136" t="e">
        <f>IF($L$2="Yes",IF(SUMIFS('DATA INPUT'!$E$3:$E$3000,'DATA INPUT'!$B$3:$B$3000,'Report Tables'!AB$1,'DATA INPUT'!$A$3:$A$3000,"&gt;="&amp;DATE(2022,1,1),'DATA INPUT'!$A$3:$A$3000,"&lt;"&amp;DATE(2022,1,31))=0,#N/A,(SUMIFS('DATA INPUT'!$E$3:$E$3000,'DATA INPUT'!$B$3:$B$3000,'Report Tables'!AB$1,'DATA INPUT'!$A$3:$A$3000,"&gt;="&amp;DATE(2022,1,1),'DATA INPUT'!$A$3:$A$3000,"&lt;"&amp;DATE(2022,1,31)))),IF(SUMIFS('DATA INPUT'!$E$3:$E$3000,'DATA INPUT'!$B$3:$B$3000,'Report Tables'!AB$1,'DATA INPUT'!$A$3:$A$3000,"&gt;="&amp;DATE(2022,1,1),'DATA INPUT'!$A$3:$A$3000,"&lt;"&amp;DATE(2022,1,31),'DATA INPUT'!$F$3:$F$3000,"&lt;&gt;*Exclude*")=0,#N/A,(SUMIFS('DATA INPUT'!$E$3:$E$3000,'DATA INPUT'!$B$3:$B$3000,'Report Tables'!AB$1,'DATA INPUT'!$A$3:$A$3000,"&gt;="&amp;DATE(2022,1,1),'DATA INPUT'!$A$3:$A$3000,"&lt;"&amp;DATE(2022,1,31),'DATA INPUT'!$F$3:$F$3000,"&lt;&gt;*Exclude*"))))</f>
        <v>#N/A</v>
      </c>
      <c r="AC63" s="136" t="e">
        <f>IF($L$2="Yes",IF(SUMIFS('DATA INPUT'!$E$3:$E$3000,'DATA INPUT'!$B$3:$B$3000,'Report Tables'!AC$1,'DATA INPUT'!$A$3:$A$3000,"&gt;="&amp;DATE(2022,1,1),'DATA INPUT'!$A$3:$A$3000,"&lt;"&amp;DATE(2022,1,31))=0,#N/A,(SUMIFS('DATA INPUT'!$E$3:$E$3000,'DATA INPUT'!$B$3:$B$3000,'Report Tables'!AC$1,'DATA INPUT'!$A$3:$A$3000,"&gt;="&amp;DATE(2022,1,1),'DATA INPUT'!$A$3:$A$3000,"&lt;"&amp;DATE(2022,1,31)))),IF(SUMIFS('DATA INPUT'!$E$3:$E$3000,'DATA INPUT'!$B$3:$B$3000,'Report Tables'!AC$1,'DATA INPUT'!$A$3:$A$3000,"&gt;="&amp;DATE(2022,1,1),'DATA INPUT'!$A$3:$A$3000,"&lt;"&amp;DATE(2022,1,31),'DATA INPUT'!$F$3:$F$3000,"&lt;&gt;*Exclude*")=0,#N/A,(SUMIFS('DATA INPUT'!$E$3:$E$3000,'DATA INPUT'!$B$3:$B$3000,'Report Tables'!AC$1,'DATA INPUT'!$A$3:$A$3000,"&gt;="&amp;DATE(2022,1,1),'DATA INPUT'!$A$3:$A$3000,"&lt;"&amp;DATE(2022,1,31),'DATA INPUT'!$F$3:$F$3000,"&lt;&gt;*Exclude*"))))</f>
        <v>#N/A</v>
      </c>
      <c r="AD63" s="136" t="e">
        <f>IF($L$2="Yes",IF(SUMIFS('DATA INPUT'!$E$3:$E$3000,'DATA INPUT'!$B$3:$B$3000,'Report Tables'!AD$1,'DATA INPUT'!$A$3:$A$3000,"&gt;="&amp;DATE(2022,1,1),'DATA INPUT'!$A$3:$A$3000,"&lt;"&amp;DATE(2022,1,31))=0,#N/A,(SUMIFS('DATA INPUT'!$E$3:$E$3000,'DATA INPUT'!$B$3:$B$3000,'Report Tables'!AD$1,'DATA INPUT'!$A$3:$A$3000,"&gt;="&amp;DATE(2022,1,1),'DATA INPUT'!$A$3:$A$3000,"&lt;"&amp;DATE(2022,1,31)))),IF(SUMIFS('DATA INPUT'!$E$3:$E$3000,'DATA INPUT'!$B$3:$B$3000,'Report Tables'!AD$1,'DATA INPUT'!$A$3:$A$3000,"&gt;="&amp;DATE(2022,1,1),'DATA INPUT'!$A$3:$A$3000,"&lt;"&amp;DATE(2022,1,31),'DATA INPUT'!$F$3:$F$3000,"&lt;&gt;*Exclude*")=0,#N/A,(SUMIFS('DATA INPUT'!$E$3:$E$3000,'DATA INPUT'!$B$3:$B$3000,'Report Tables'!AD$1,'DATA INPUT'!$A$3:$A$3000,"&gt;="&amp;DATE(2022,1,1),'DATA INPUT'!$A$3:$A$3000,"&lt;"&amp;DATE(2022,1,31),'DATA INPUT'!$F$3:$F$3000,"&lt;&gt;*Exclude*"))))</f>
        <v>#N/A</v>
      </c>
      <c r="AE63" s="136" t="e">
        <f>IF($L$2="Yes",IF(SUMIFS('DATA INPUT'!$E$3:$E$3000,'DATA INPUT'!$B$3:$B$3000,'Report Tables'!AE$1,'DATA INPUT'!$A$3:$A$3000,"&gt;="&amp;DATE(2022,1,1),'DATA INPUT'!$A$3:$A$3000,"&lt;"&amp;DATE(2022,1,31))=0,#N/A,(SUMIFS('DATA INPUT'!$E$3:$E$3000,'DATA INPUT'!$B$3:$B$3000,'Report Tables'!AE$1,'DATA INPUT'!$A$3:$A$3000,"&gt;="&amp;DATE(2022,1,1),'DATA INPUT'!$A$3:$A$3000,"&lt;"&amp;DATE(2022,1,31)))),IF(SUMIFS('DATA INPUT'!$E$3:$E$3000,'DATA INPUT'!$B$3:$B$3000,'Report Tables'!AE$1,'DATA INPUT'!$A$3:$A$3000,"&gt;="&amp;DATE(2022,1,1),'DATA INPUT'!$A$3:$A$3000,"&lt;"&amp;DATE(2022,1,31),'DATA INPUT'!$F$3:$F$3000,"&lt;&gt;*Exclude*")=0,#N/A,(SUMIFS('DATA INPUT'!$E$3:$E$3000,'DATA INPUT'!$B$3:$B$3000,'Report Tables'!AE$1,'DATA INPUT'!$A$3:$A$3000,"&gt;="&amp;DATE(2022,1,1),'DATA INPUT'!$A$3:$A$3000,"&lt;"&amp;DATE(2022,1,31),'DATA INPUT'!$F$3:$F$3000,"&lt;&gt;*Exclude*"))))</f>
        <v>#N/A</v>
      </c>
      <c r="AF63" s="136" t="e">
        <f>IF($L$2="Yes",IF(SUMIFS('DATA INPUT'!$E$3:$E$3000,'DATA INPUT'!$B$3:$B$3000,'Report Tables'!AF$1,'DATA INPUT'!$A$3:$A$3000,"&gt;="&amp;DATE(2022,1,1),'DATA INPUT'!$A$3:$A$3000,"&lt;"&amp;DATE(2022,1,31))=0,#N/A,(SUMIFS('DATA INPUT'!$E$3:$E$3000,'DATA INPUT'!$B$3:$B$3000,'Report Tables'!AF$1,'DATA INPUT'!$A$3:$A$3000,"&gt;="&amp;DATE(2022,1,1),'DATA INPUT'!$A$3:$A$3000,"&lt;"&amp;DATE(2022,1,31)))),IF(SUMIFS('DATA INPUT'!$E$3:$E$3000,'DATA INPUT'!$B$3:$B$3000,'Report Tables'!AF$1,'DATA INPUT'!$A$3:$A$3000,"&gt;="&amp;DATE(2022,1,1),'DATA INPUT'!$A$3:$A$3000,"&lt;"&amp;DATE(2022,1,31),'DATA INPUT'!$F$3:$F$3000,"&lt;&gt;*Exclude*")=0,#N/A,(SUMIFS('DATA INPUT'!$E$3:$E$3000,'DATA INPUT'!$B$3:$B$3000,'Report Tables'!AF$1,'DATA INPUT'!$A$3:$A$3000,"&gt;="&amp;DATE(2022,1,1),'DATA INPUT'!$A$3:$A$3000,"&lt;"&amp;DATE(2022,1,31),'DATA INPUT'!$F$3:$F$3000,"&lt;&gt;*Exclude*"))))</f>
        <v>#N/A</v>
      </c>
      <c r="AG63" s="136" t="e">
        <f>IF($L$2="Yes",IF(SUMIFS('DATA INPUT'!$E$3:$E$3000,'DATA INPUT'!$B$3:$B$3000,'Report Tables'!AG$1,'DATA INPUT'!$A$3:$A$3000,"&gt;="&amp;DATE(2022,1,1),'DATA INPUT'!$A$3:$A$3000,"&lt;"&amp;DATE(2022,1,31))=0,#N/A,(SUMIFS('DATA INPUT'!$E$3:$E$3000,'DATA INPUT'!$B$3:$B$3000,'Report Tables'!AG$1,'DATA INPUT'!$A$3:$A$3000,"&gt;="&amp;DATE(2022,1,1),'DATA INPUT'!$A$3:$A$3000,"&lt;"&amp;DATE(2022,1,31)))),IF(SUMIFS('DATA INPUT'!$E$3:$E$3000,'DATA INPUT'!$B$3:$B$3000,'Report Tables'!AG$1,'DATA INPUT'!$A$3:$A$3000,"&gt;="&amp;DATE(2022,1,1),'DATA INPUT'!$A$3:$A$3000,"&lt;"&amp;DATE(2022,1,31),'DATA INPUT'!$F$3:$F$3000,"&lt;&gt;*Exclude*")=0,#N/A,(SUMIFS('DATA INPUT'!$E$3:$E$3000,'DATA INPUT'!$B$3:$B$3000,'Report Tables'!AG$1,'DATA INPUT'!$A$3:$A$3000,"&gt;="&amp;DATE(2022,1,1),'DATA INPUT'!$A$3:$A$3000,"&lt;"&amp;DATE(2022,1,31),'DATA INPUT'!$F$3:$F$3000,"&lt;&gt;*Exclude*"))))</f>
        <v>#N/A</v>
      </c>
      <c r="AH63" s="136" t="e">
        <f>IF($L$2="Yes",IF(SUMIFS('DATA INPUT'!$E$3:$E$3000,'DATA INPUT'!$B$3:$B$3000,'Report Tables'!AH$1,'DATA INPUT'!$A$3:$A$3000,"&gt;="&amp;DATE(2022,1,1),'DATA INPUT'!$A$3:$A$3000,"&lt;"&amp;DATE(2022,1,31))=0,#N/A,(SUMIFS('DATA INPUT'!$E$3:$E$3000,'DATA INPUT'!$B$3:$B$3000,'Report Tables'!AH$1,'DATA INPUT'!$A$3:$A$3000,"&gt;="&amp;DATE(2022,1,1),'DATA INPUT'!$A$3:$A$3000,"&lt;"&amp;DATE(2022,1,31)))),IF(SUMIFS('DATA INPUT'!$E$3:$E$3000,'DATA INPUT'!$B$3:$B$3000,'Report Tables'!AH$1,'DATA INPUT'!$A$3:$A$3000,"&gt;="&amp;DATE(2022,1,1),'DATA INPUT'!$A$3:$A$3000,"&lt;"&amp;DATE(2022,1,31),'DATA INPUT'!$F$3:$F$3000,"&lt;&gt;*Exclude*")=0,#N/A,(SUMIFS('DATA INPUT'!$E$3:$E$3000,'DATA INPUT'!$B$3:$B$3000,'Report Tables'!AH$1,'DATA INPUT'!$A$3:$A$3000,"&gt;="&amp;DATE(2022,1,1),'DATA INPUT'!$A$3:$A$3000,"&lt;"&amp;DATE(2022,1,31),'DATA INPUT'!$F$3:$F$3000,"&lt;&gt;*Exclude*"))))</f>
        <v>#N/A</v>
      </c>
      <c r="AI63" s="136" t="e">
        <f t="shared" si="0"/>
        <v>#N/A</v>
      </c>
      <c r="AJ63" s="136" t="e">
        <f>IF($L$2="Yes",IF(SUMIFS('DATA INPUT'!$D$3:$D$3000,'DATA INPUT'!$A$3:$A$3000,"&gt;="&amp;DATE(2022,1,1),'DATA INPUT'!$A$3:$A$3000,"&lt;"&amp;DATE(2022,1,31),'DATA INPUT'!$G$3:$G$3000,"&lt;&gt;*School service*")=0,#N/A,(SUMIFS('DATA INPUT'!$D$3:$D$3000,'DATA INPUT'!$A$3:$A$3000,"&gt;="&amp;DATE(2022,1,1),'DATA INPUT'!$A$3:$A$3000,"&lt;"&amp;DATE(2022,1,31),'DATA INPUT'!$G$3:$G$3000,"&lt;&gt;*School service*"))),IF(SUMIFS('DATA INPUT'!$D$3:$D$3000,'DATA INPUT'!$A$3:$A$3000,"&gt;="&amp;DATE(2022,1,1),'DATA INPUT'!$A$3:$A$3000,"&lt;"&amp;DATE(2022,1,31),'DATA INPUT'!$F$3:$F$3000,"&lt;&gt;*Exclude*",'DATA INPUT'!$G$3:$G$3000,"&lt;&gt;*School service*")=0,#N/A,(SUMIFS('DATA INPUT'!$D$3:$D$3000,'DATA INPUT'!$A$3:$A$3000,"&gt;="&amp;DATE(2022,1,1),'DATA INPUT'!$A$3:$A$3000,"&lt;"&amp;DATE(2022,1,31),'DATA INPUT'!$F$3:$F$3000,"&lt;&gt;*Exclude*",'DATA INPUT'!$G$3:$G$3000,"&lt;&gt;*School service*"))))</f>
        <v>#N/A</v>
      </c>
      <c r="AK63" s="136" t="e">
        <f>AI63-AJ63</f>
        <v>#N/A</v>
      </c>
      <c r="AM63" s="117" t="e">
        <f>IF($L$2="Yes",IFERROR((SUMIFS('DATA INPUT'!$E$3:$E$3000,'DATA INPUT'!$B$3:$B$3000,'Report Tables'!AM$1,'DATA INPUT'!$A$3:$A$3000,"&gt;="&amp;DATE(2022,1,1),'DATA INPUT'!$A$3:$A$3000,"&lt;"&amp;DATE(2022,1,31)))/COUNTIFS('DATA INPUT'!$B$3:$B$3000,'Report Tables'!AM$1,'DATA INPUT'!$A$3:$A$3000,"&gt;="&amp;DATE(2022,1,1),'DATA INPUT'!$A$3:$A$3000,"&lt;"&amp;DATE(2022,1,31)),#N/A),IFERROR((SUMIFS('DATA INPUT'!$E$3:$E$3000,'DATA INPUT'!$B$3:$B$3000,'Report Tables'!AM$1,'DATA INPUT'!$A$3:$A$3000,"&gt;="&amp;DATE(2022,1,1),'DATA INPUT'!$A$3:$A$3000,"&lt;"&amp;DATE(2022,1,31),'DATA INPUT'!$F$3:$F$3000,"&lt;&gt;*Exclude*"))/(COUNTIFS('DATA INPUT'!$B$3:$B$3000,'Report Tables'!AM$1,'DATA INPUT'!$A$3:$A$3000,"&gt;="&amp;DATE(2022,1,1),'DATA INPUT'!$A$3:$A$3000,"&lt;"&amp;DATE(2022,1,31),'DATA INPUT'!$F$3:$F$3000,"&lt;&gt;*Exclude*")),#N/A))</f>
        <v>#N/A</v>
      </c>
      <c r="AN63" s="117" t="e">
        <f>IF($L$2="Yes",IFERROR((SUMIFS('DATA INPUT'!$E$3:$E$3000,'DATA INPUT'!$B$3:$B$3000,'Report Tables'!AN$1,'DATA INPUT'!$A$3:$A$3000,"&gt;="&amp;DATE(2022,1,1),'DATA INPUT'!$A$3:$A$3000,"&lt;"&amp;DATE(2022,1,31)))/COUNTIFS('DATA INPUT'!$B$3:$B$3000,'Report Tables'!AN$1,'DATA INPUT'!$A$3:$A$3000,"&gt;="&amp;DATE(2022,1,1),'DATA INPUT'!$A$3:$A$3000,"&lt;"&amp;DATE(2022,1,31)),#N/A),IFERROR((SUMIFS('DATA INPUT'!$E$3:$E$3000,'DATA INPUT'!$B$3:$B$3000,'Report Tables'!AN$1,'DATA INPUT'!$A$3:$A$3000,"&gt;="&amp;DATE(2022,1,1),'DATA INPUT'!$A$3:$A$3000,"&lt;"&amp;DATE(2022,1,31),'DATA INPUT'!$F$3:$F$3000,"&lt;&gt;*Exclude*"))/(COUNTIFS('DATA INPUT'!$B$3:$B$3000,'Report Tables'!AN$1,'DATA INPUT'!$A$3:$A$3000,"&gt;="&amp;DATE(2022,1,1),'DATA INPUT'!$A$3:$A$3000,"&lt;"&amp;DATE(2022,1,31),'DATA INPUT'!$F$3:$F$3000,"&lt;&gt;*Exclude*")),#N/A))</f>
        <v>#N/A</v>
      </c>
      <c r="AO63" s="117" t="e">
        <f>IF($L$2="Yes",IFERROR((SUMIFS('DATA INPUT'!$E$3:$E$3000,'DATA INPUT'!$B$3:$B$3000,'Report Tables'!AO$1,'DATA INPUT'!$A$3:$A$3000,"&gt;="&amp;DATE(2022,1,1),'DATA INPUT'!$A$3:$A$3000,"&lt;"&amp;DATE(2022,1,31)))/COUNTIFS('DATA INPUT'!$B$3:$B$3000,'Report Tables'!AO$1,'DATA INPUT'!$A$3:$A$3000,"&gt;="&amp;DATE(2022,1,1),'DATA INPUT'!$A$3:$A$3000,"&lt;"&amp;DATE(2022,1,31)),#N/A),IFERROR((SUMIFS('DATA INPUT'!$E$3:$E$3000,'DATA INPUT'!$B$3:$B$3000,'Report Tables'!AO$1,'DATA INPUT'!$A$3:$A$3000,"&gt;="&amp;DATE(2022,1,1),'DATA INPUT'!$A$3:$A$3000,"&lt;"&amp;DATE(2022,1,31),'DATA INPUT'!$F$3:$F$3000,"&lt;&gt;*Exclude*"))/(COUNTIFS('DATA INPUT'!$B$3:$B$3000,'Report Tables'!AO$1,'DATA INPUT'!$A$3:$A$3000,"&gt;="&amp;DATE(2022,1,1),'DATA INPUT'!$A$3:$A$3000,"&lt;"&amp;DATE(2022,1,31),'DATA INPUT'!$F$3:$F$3000,"&lt;&gt;*Exclude*")),#N/A))</f>
        <v>#N/A</v>
      </c>
      <c r="AP63" s="117" t="e">
        <f>IF($L$2="Yes",IFERROR((SUMIFS('DATA INPUT'!$E$3:$E$3000,'DATA INPUT'!$B$3:$B$3000,'Report Tables'!AP$1,'DATA INPUT'!$A$3:$A$3000,"&gt;="&amp;DATE(2022,1,1),'DATA INPUT'!$A$3:$A$3000,"&lt;"&amp;DATE(2022,1,31)))/COUNTIFS('DATA INPUT'!$B$3:$B$3000,'Report Tables'!AP$1,'DATA INPUT'!$A$3:$A$3000,"&gt;="&amp;DATE(2022,1,1),'DATA INPUT'!$A$3:$A$3000,"&lt;"&amp;DATE(2022,1,31)),#N/A),IFERROR((SUMIFS('DATA INPUT'!$E$3:$E$3000,'DATA INPUT'!$B$3:$B$3000,'Report Tables'!AP$1,'DATA INPUT'!$A$3:$A$3000,"&gt;="&amp;DATE(2022,1,1),'DATA INPUT'!$A$3:$A$3000,"&lt;"&amp;DATE(2022,1,31),'DATA INPUT'!$F$3:$F$3000,"&lt;&gt;*Exclude*"))/(COUNTIFS('DATA INPUT'!$B$3:$B$3000,'Report Tables'!AP$1,'DATA INPUT'!$A$3:$A$3000,"&gt;="&amp;DATE(2022,1,1),'DATA INPUT'!$A$3:$A$3000,"&lt;"&amp;DATE(2022,1,31),'DATA INPUT'!$F$3:$F$3000,"&lt;&gt;*Exclude*")),#N/A))</f>
        <v>#N/A</v>
      </c>
      <c r="AQ63" s="117" t="e">
        <f>IF($L$2="Yes",IFERROR((SUMIFS('DATA INPUT'!$E$3:$E$3000,'DATA INPUT'!$B$3:$B$3000,'Report Tables'!AQ$1,'DATA INPUT'!$A$3:$A$3000,"&gt;="&amp;DATE(2022,1,1),'DATA INPUT'!$A$3:$A$3000,"&lt;"&amp;DATE(2022,1,31)))/COUNTIFS('DATA INPUT'!$B$3:$B$3000,'Report Tables'!AQ$1,'DATA INPUT'!$A$3:$A$3000,"&gt;="&amp;DATE(2022,1,1),'DATA INPUT'!$A$3:$A$3000,"&lt;"&amp;DATE(2022,1,31)),#N/A),IFERROR((SUMIFS('DATA INPUT'!$E$3:$E$3000,'DATA INPUT'!$B$3:$B$3000,'Report Tables'!AQ$1,'DATA INPUT'!$A$3:$A$3000,"&gt;="&amp;DATE(2022,1,1),'DATA INPUT'!$A$3:$A$3000,"&lt;"&amp;DATE(2022,1,31),'DATA INPUT'!$F$3:$F$3000,"&lt;&gt;*Exclude*"))/(COUNTIFS('DATA INPUT'!$B$3:$B$3000,'Report Tables'!AQ$1,'DATA INPUT'!$A$3:$A$3000,"&gt;="&amp;DATE(2022,1,1),'DATA INPUT'!$A$3:$A$3000,"&lt;"&amp;DATE(2022,1,31),'DATA INPUT'!$F$3:$F$3000,"&lt;&gt;*Exclude*")),#N/A))</f>
        <v>#N/A</v>
      </c>
      <c r="AR63" s="117" t="e">
        <f>IF($L$2="Yes",IFERROR((SUMIFS('DATA INPUT'!$E$3:$E$3000,'DATA INPUT'!$B$3:$B$3000,'Report Tables'!AR$1,'DATA INPUT'!$A$3:$A$3000,"&gt;="&amp;DATE(2022,1,1),'DATA INPUT'!$A$3:$A$3000,"&lt;"&amp;DATE(2022,1,31)))/COUNTIFS('DATA INPUT'!$B$3:$B$3000,'Report Tables'!AR$1,'DATA INPUT'!$A$3:$A$3000,"&gt;="&amp;DATE(2022,1,1),'DATA INPUT'!$A$3:$A$3000,"&lt;"&amp;DATE(2022,1,31)),#N/A),IFERROR((SUMIFS('DATA INPUT'!$E$3:$E$3000,'DATA INPUT'!$B$3:$B$3000,'Report Tables'!AR$1,'DATA INPUT'!$A$3:$A$3000,"&gt;="&amp;DATE(2022,1,1),'DATA INPUT'!$A$3:$A$3000,"&lt;"&amp;DATE(2022,1,31),'DATA INPUT'!$F$3:$F$3000,"&lt;&gt;*Exclude*"))/(COUNTIFS('DATA INPUT'!$B$3:$B$3000,'Report Tables'!AR$1,'DATA INPUT'!$A$3:$A$3000,"&gt;="&amp;DATE(2022,1,1),'DATA INPUT'!$A$3:$A$3000,"&lt;"&amp;DATE(2022,1,31),'DATA INPUT'!$F$3:$F$3000,"&lt;&gt;*Exclude*")),#N/A))</f>
        <v>#N/A</v>
      </c>
      <c r="AS63" s="117" t="e">
        <f>IF($L$2="Yes",IFERROR((SUMIFS('DATA INPUT'!$E$3:$E$3000,'DATA INPUT'!$B$3:$B$3000,'Report Tables'!AS$1,'DATA INPUT'!$A$3:$A$3000,"&gt;="&amp;DATE(2022,1,1),'DATA INPUT'!$A$3:$A$3000,"&lt;"&amp;DATE(2022,1,31)))/COUNTIFS('DATA INPUT'!$B$3:$B$3000,'Report Tables'!AS$1,'DATA INPUT'!$A$3:$A$3000,"&gt;="&amp;DATE(2022,1,1),'DATA INPUT'!$A$3:$A$3000,"&lt;"&amp;DATE(2022,1,31)),#N/A),IFERROR((SUMIFS('DATA INPUT'!$E$3:$E$3000,'DATA INPUT'!$B$3:$B$3000,'Report Tables'!AS$1,'DATA INPUT'!$A$3:$A$3000,"&gt;="&amp;DATE(2022,1,1),'DATA INPUT'!$A$3:$A$3000,"&lt;"&amp;DATE(2022,1,31),'DATA INPUT'!$F$3:$F$3000,"&lt;&gt;*Exclude*"))/(COUNTIFS('DATA INPUT'!$B$3:$B$3000,'Report Tables'!AS$1,'DATA INPUT'!$A$3:$A$3000,"&gt;="&amp;DATE(2022,1,1),'DATA INPUT'!$A$3:$A$3000,"&lt;"&amp;DATE(2022,1,31),'DATA INPUT'!$F$3:$F$3000,"&lt;&gt;*Exclude*")),#N/A))</f>
        <v>#N/A</v>
      </c>
      <c r="AT63" s="117" t="e">
        <f>IF($L$2="Yes",IFERROR((SUMIFS('DATA INPUT'!$E$3:$E$3000,'DATA INPUT'!$B$3:$B$3000,'Report Tables'!AT$1,'DATA INPUT'!$A$3:$A$3000,"&gt;="&amp;DATE(2022,1,1),'DATA INPUT'!$A$3:$A$3000,"&lt;"&amp;DATE(2022,1,31)))/COUNTIFS('DATA INPUT'!$B$3:$B$3000,'Report Tables'!AT$1,'DATA INPUT'!$A$3:$A$3000,"&gt;="&amp;DATE(2022,1,1),'DATA INPUT'!$A$3:$A$3000,"&lt;"&amp;DATE(2022,1,31)),#N/A),IFERROR((SUMIFS('DATA INPUT'!$E$3:$E$3000,'DATA INPUT'!$B$3:$B$3000,'Report Tables'!AT$1,'DATA INPUT'!$A$3:$A$3000,"&gt;="&amp;DATE(2022,1,1),'DATA INPUT'!$A$3:$A$3000,"&lt;"&amp;DATE(2022,1,31),'DATA INPUT'!$F$3:$F$3000,"&lt;&gt;*Exclude*"))/(COUNTIFS('DATA INPUT'!$B$3:$B$3000,'Report Tables'!AT$1,'DATA INPUT'!$A$3:$A$3000,"&gt;="&amp;DATE(2022,1,1),'DATA INPUT'!$A$3:$A$3000,"&lt;"&amp;DATE(2022,1,31),'DATA INPUT'!$F$3:$F$3000,"&lt;&gt;*Exclude*")),#N/A))</f>
        <v>#N/A</v>
      </c>
      <c r="AU63" s="117" t="e">
        <f t="shared" si="1"/>
        <v>#N/A</v>
      </c>
      <c r="AV63" s="117" t="e">
        <f>IF($L$2="Yes",IFERROR((SUMIFS('DATA INPUT'!$D$3:$D$3000,'DATA INPUT'!$A$3:$A$3000,"&gt;="&amp;DATE(2022,1,1),'DATA INPUT'!$A$3:$A$3000,"&lt;"&amp;DATE(2022,1,31),'DATA INPUT'!$G$3:$G$3000,"&lt;&gt;*School service*"))/COUNTIFS('DATA INPUT'!$A$3:$A$3000,"&gt;="&amp;DATE(2022,1,1),'DATA INPUT'!$A$3:$A$3000,"&lt;"&amp;DATE(2022,1,31),'DATA INPUT'!$G$3:$G$3000,"&lt;&gt;*School service*",'DATA INPUT'!$D$3:$D$3000,"&lt;&gt;"&amp;""),#N/A),IFERROR((SUMIFS('DATA INPUT'!$D$3:$D$3000,'DATA INPUT'!$A$3:$A$3000,"&gt;="&amp;DATE(2022,1,1),'DATA INPUT'!$A$3:$A$3000,"&lt;"&amp;DATE(2022,1,31),'DATA INPUT'!$F$3:$F$3000,"&lt;&gt;*Exclude*",'DATA INPUT'!$G$3:$G$3000,"&lt;&gt;*School service*"))/(COUNTIFS('DATA INPUT'!$A$3:$A$3000,"&gt;="&amp;DATE(2022,1,1),'DATA INPUT'!$A$3:$A$3000,"&lt;"&amp;DATE(2022,1,31),'DATA INPUT'!$F$3:$F$3000,"&lt;&gt;*Exclude*",'DATA INPUT'!$G$3:$G$3000,"&lt;&gt;*School service*",'DATA INPUT'!$D$3:$D$3000,"&lt;&gt;"&amp;"")),#N/A))</f>
        <v>#N/A</v>
      </c>
      <c r="AW63" s="117" t="e">
        <f t="shared" si="2"/>
        <v>#N/A</v>
      </c>
      <c r="AX63" s="117" t="e">
        <f>IF($L$2="Yes",IFERROR((SUMIFS('DATA INPUT'!$E$3:$E$3000,'DATA INPUT'!$B$3:$B$3000,'Report Tables'!AX$1,'DATA INPUT'!$A$3:$A$3000,"&gt;="&amp;DATE(2022,1,1),'DATA INPUT'!$A$3:$A$3000,"&lt;"&amp;DATE(2022,1,31)))/COUNTIFS('DATA INPUT'!$B$3:$B$3000,'Report Tables'!AX$1,'DATA INPUT'!$A$3:$A$3000,"&gt;="&amp;DATE(2022,1,1),'DATA INPUT'!$A$3:$A$3000,"&lt;"&amp;DATE(2022,1,31)),#N/A),IFERROR((SUMIFS('DATA INPUT'!$E$3:$E$3000,'DATA INPUT'!$B$3:$B$3000,'Report Tables'!AX$1,'DATA INPUT'!$A$3:$A$3000,"&gt;="&amp;DATE(2022,1,1),'DATA INPUT'!$A$3:$A$3000,"&lt;"&amp;DATE(2022,1,31),'DATA INPUT'!$F$3:$F$3000,"&lt;&gt;*Exclude*"))/(COUNTIFS('DATA INPUT'!$B$3:$B$3000,'Report Tables'!AX$1,'DATA INPUT'!$A$3:$A$3000,"&gt;="&amp;DATE(2022,1,1),'DATA INPUT'!$A$3:$A$3000,"&lt;"&amp;DATE(2022,1,31),'DATA INPUT'!$F$3:$F$3000,"&lt;&gt;*Exclude*")),#N/A))</f>
        <v>#N/A</v>
      </c>
      <c r="AY63" s="117" t="e">
        <f>IF($L$2="Yes",IFERROR((SUMIFS('DATA INPUT'!$D$3:$D$3000,'DATA INPUT'!$B$3:$B$3000,'Report Tables'!AX$1,'DATA INPUT'!$A$3:$A$3000,"&gt;="&amp;DATE(2022,1,1),'DATA INPUT'!$A$3:$A$3000,"&lt;"&amp;DATE(2022,1,31)))/COUNTIFS('DATA INPUT'!$B$3:$B$3000,'Report Tables'!AX$1,'DATA INPUT'!$A$3:$A$3000,"&gt;="&amp;DATE(2022,1,1),'DATA INPUT'!$A$3:$A$3000,"&lt;"&amp;DATE(2022,1,31)),#N/A),IFERROR((SUMIFS('DATA INPUT'!$D$3:$D$3000,'DATA INPUT'!$B$3:$B$3000,'Report Tables'!AX$1,'DATA INPUT'!$A$3:$A$3000,"&gt;="&amp;DATE(2022,1,1),'DATA INPUT'!$A$3:$A$3000,"&lt;"&amp;DATE(2022,1,31),'DATA INPUT'!$F$3:$F$3000,"&lt;&gt;*Exclude*"))/(COUNTIFS('DATA INPUT'!$B$3:$B$3000,'Report Tables'!AX$1,'DATA INPUT'!$A$3:$A$3000,"&gt;="&amp;DATE(2022,1,1),'DATA INPUT'!$A$3:$A$3000,"&lt;"&amp;DATE(2022,1,31),'DATA INPUT'!$F$3:$F$3000,"&lt;&gt;*Exclude*")),#N/A))</f>
        <v>#N/A</v>
      </c>
      <c r="AZ63" s="117" t="e">
        <f>IF($L$2="Yes",IFERROR((SUMIFS('DATA INPUT'!$C$3:$C$3000,'DATA INPUT'!$B$3:$B$3000,'Report Tables'!AX$1,'DATA INPUT'!$A$3:$A$3000,"&gt;="&amp;DATE(2022,1,1),'DATA INPUT'!$A$3:$A$3000,"&lt;"&amp;DATE(2022,1,31)))/COUNTIFS('DATA INPUT'!$B$3:$B$3000,'Report Tables'!AX$1,'DATA INPUT'!$A$3:$A$3000,"&gt;="&amp;DATE(2022,1,1),'DATA INPUT'!$A$3:$A$3000,"&lt;"&amp;DATE(2022,1,31)),#N/A),IFERROR((SUMIFS('DATA INPUT'!$C$3:$C$3000,'DATA INPUT'!$B$3:$B$3000,'Report Tables'!AX$1,'DATA INPUT'!$A$3:$A$3000,"&gt;="&amp;DATE(2022,1,1),'DATA INPUT'!$A$3:$A$3000,"&lt;"&amp;DATE(2022,1,31),'DATA INPUT'!$F$3:$F$3000,"&lt;&gt;*Exclude*"))/(COUNTIFS('DATA INPUT'!$B$3:$B$3000,'Report Tables'!AX$1,'DATA INPUT'!$A$3:$A$3000,"&gt;="&amp;DATE(2022,1,1),'DATA INPUT'!$A$3:$A$3000,"&lt;"&amp;DATE(2022,1,31),'DATA INPUT'!$F$3:$F$3000,"&lt;&gt;*Exclude*")),#N/A))</f>
        <v>#N/A</v>
      </c>
    </row>
    <row r="64" spans="1:52" x14ac:dyDescent="0.3">
      <c r="Y64" s="149"/>
      <c r="Z64" s="149" t="s">
        <v>13</v>
      </c>
      <c r="AA64" s="136" t="e">
        <f>IF($L$2="Yes",IF(SUMIFS('DATA INPUT'!$E$3:$E$3000,'DATA INPUT'!$B$3:$B$3000,'Report Tables'!AA$1,'DATA INPUT'!$A$3:$A$3000,"&gt;="&amp;DATE(2022,2,1),'DATA INPUT'!$A$3:$A$3000,"&lt;"&amp;DATE(2022,2,31))=0,#N/A,(SUMIFS('DATA INPUT'!$E$3:$E$3000,'DATA INPUT'!$B$3:$B$3000,'Report Tables'!AA$1,'DATA INPUT'!$A$3:$A$3000,"&gt;="&amp;DATE(2022,2,1),'DATA INPUT'!$A$3:$A$3000,"&lt;"&amp;DATE(2022,2,31)))),IF(SUMIFS('DATA INPUT'!$E$3:$E$3000,'DATA INPUT'!$B$3:$B$3000,'Report Tables'!AA$1,'DATA INPUT'!$A$3:$A$3000,"&gt;="&amp;DATE(2022,2,1),'DATA INPUT'!$A$3:$A$3000,"&lt;"&amp;DATE(2022,2,31),'DATA INPUT'!$F$3:$F$3000,"&lt;&gt;*Exclude*")=0,#N/A,(SUMIFS('DATA INPUT'!$E$3:$E$3000,'DATA INPUT'!$B$3:$B$3000,'Report Tables'!AA$1,'DATA INPUT'!$A$3:$A$3000,"&gt;="&amp;DATE(2022,2,1),'DATA INPUT'!$A$3:$A$3000,"&lt;"&amp;DATE(2022,2,31),'DATA INPUT'!$F$3:$F$3000,"&lt;&gt;*Exclude*"))))</f>
        <v>#N/A</v>
      </c>
      <c r="AB64" s="136" t="e">
        <f>IF($L$2="Yes",IF(SUMIFS('DATA INPUT'!$E$3:$E$3000,'DATA INPUT'!$B$3:$B$3000,'Report Tables'!AB$1,'DATA INPUT'!$A$3:$A$3000,"&gt;="&amp;DATE(2022,2,1),'DATA INPUT'!$A$3:$A$3000,"&lt;"&amp;DATE(2022,2,31))=0,#N/A,(SUMIFS('DATA INPUT'!$E$3:$E$3000,'DATA INPUT'!$B$3:$B$3000,'Report Tables'!AB$1,'DATA INPUT'!$A$3:$A$3000,"&gt;="&amp;DATE(2022,2,1),'DATA INPUT'!$A$3:$A$3000,"&lt;"&amp;DATE(2022,2,31)))),IF(SUMIFS('DATA INPUT'!$E$3:$E$3000,'DATA INPUT'!$B$3:$B$3000,'Report Tables'!AB$1,'DATA INPUT'!$A$3:$A$3000,"&gt;="&amp;DATE(2022,2,1),'DATA INPUT'!$A$3:$A$3000,"&lt;"&amp;DATE(2022,2,31),'DATA INPUT'!$F$3:$F$3000,"&lt;&gt;*Exclude*")=0,#N/A,(SUMIFS('DATA INPUT'!$E$3:$E$3000,'DATA INPUT'!$B$3:$B$3000,'Report Tables'!AB$1,'DATA INPUT'!$A$3:$A$3000,"&gt;="&amp;DATE(2022,2,1),'DATA INPUT'!$A$3:$A$3000,"&lt;"&amp;DATE(2022,2,31),'DATA INPUT'!$F$3:$F$3000,"&lt;&gt;*Exclude*"))))</f>
        <v>#N/A</v>
      </c>
      <c r="AC64" s="136" t="e">
        <f>IF($L$2="Yes",IF(SUMIFS('DATA INPUT'!$E$3:$E$3000,'DATA INPUT'!$B$3:$B$3000,'Report Tables'!AC$1,'DATA INPUT'!$A$3:$A$3000,"&gt;="&amp;DATE(2022,2,1),'DATA INPUT'!$A$3:$A$3000,"&lt;"&amp;DATE(2022,2,31))=0,#N/A,(SUMIFS('DATA INPUT'!$E$3:$E$3000,'DATA INPUT'!$B$3:$B$3000,'Report Tables'!AC$1,'DATA INPUT'!$A$3:$A$3000,"&gt;="&amp;DATE(2022,2,1),'DATA INPUT'!$A$3:$A$3000,"&lt;"&amp;DATE(2022,2,31)))),IF(SUMIFS('DATA INPUT'!$E$3:$E$3000,'DATA INPUT'!$B$3:$B$3000,'Report Tables'!AC$1,'DATA INPUT'!$A$3:$A$3000,"&gt;="&amp;DATE(2022,2,1),'DATA INPUT'!$A$3:$A$3000,"&lt;"&amp;DATE(2022,2,31),'DATA INPUT'!$F$3:$F$3000,"&lt;&gt;*Exclude*")=0,#N/A,(SUMIFS('DATA INPUT'!$E$3:$E$3000,'DATA INPUT'!$B$3:$B$3000,'Report Tables'!AC$1,'DATA INPUT'!$A$3:$A$3000,"&gt;="&amp;DATE(2022,2,1),'DATA INPUT'!$A$3:$A$3000,"&lt;"&amp;DATE(2022,2,31),'DATA INPUT'!$F$3:$F$3000,"&lt;&gt;*Exclude*"))))</f>
        <v>#N/A</v>
      </c>
      <c r="AD64" s="136" t="e">
        <f>IF($L$2="Yes",IF(SUMIFS('DATA INPUT'!$E$3:$E$3000,'DATA INPUT'!$B$3:$B$3000,'Report Tables'!AD$1,'DATA INPUT'!$A$3:$A$3000,"&gt;="&amp;DATE(2022,2,1),'DATA INPUT'!$A$3:$A$3000,"&lt;"&amp;DATE(2022,2,31))=0,#N/A,(SUMIFS('DATA INPUT'!$E$3:$E$3000,'DATA INPUT'!$B$3:$B$3000,'Report Tables'!AD$1,'DATA INPUT'!$A$3:$A$3000,"&gt;="&amp;DATE(2022,2,1),'DATA INPUT'!$A$3:$A$3000,"&lt;"&amp;DATE(2022,2,31)))),IF(SUMIFS('DATA INPUT'!$E$3:$E$3000,'DATA INPUT'!$B$3:$B$3000,'Report Tables'!AD$1,'DATA INPUT'!$A$3:$A$3000,"&gt;="&amp;DATE(2022,2,1),'DATA INPUT'!$A$3:$A$3000,"&lt;"&amp;DATE(2022,2,31),'DATA INPUT'!$F$3:$F$3000,"&lt;&gt;*Exclude*")=0,#N/A,(SUMIFS('DATA INPUT'!$E$3:$E$3000,'DATA INPUT'!$B$3:$B$3000,'Report Tables'!AD$1,'DATA INPUT'!$A$3:$A$3000,"&gt;="&amp;DATE(2022,2,1),'DATA INPUT'!$A$3:$A$3000,"&lt;"&amp;DATE(2022,2,31),'DATA INPUT'!$F$3:$F$3000,"&lt;&gt;*Exclude*"))))</f>
        <v>#N/A</v>
      </c>
      <c r="AE64" s="136" t="e">
        <f>IF($L$2="Yes",IF(SUMIFS('DATA INPUT'!$E$3:$E$3000,'DATA INPUT'!$B$3:$B$3000,'Report Tables'!AE$1,'DATA INPUT'!$A$3:$A$3000,"&gt;="&amp;DATE(2022,2,1),'DATA INPUT'!$A$3:$A$3000,"&lt;"&amp;DATE(2022,2,31))=0,#N/A,(SUMIFS('DATA INPUT'!$E$3:$E$3000,'DATA INPUT'!$B$3:$B$3000,'Report Tables'!AE$1,'DATA INPUT'!$A$3:$A$3000,"&gt;="&amp;DATE(2022,2,1),'DATA INPUT'!$A$3:$A$3000,"&lt;"&amp;DATE(2022,2,31)))),IF(SUMIFS('DATA INPUT'!$E$3:$E$3000,'DATA INPUT'!$B$3:$B$3000,'Report Tables'!AE$1,'DATA INPUT'!$A$3:$A$3000,"&gt;="&amp;DATE(2022,2,1),'DATA INPUT'!$A$3:$A$3000,"&lt;"&amp;DATE(2022,2,31),'DATA INPUT'!$F$3:$F$3000,"&lt;&gt;*Exclude*")=0,#N/A,(SUMIFS('DATA INPUT'!$E$3:$E$3000,'DATA INPUT'!$B$3:$B$3000,'Report Tables'!AE$1,'DATA INPUT'!$A$3:$A$3000,"&gt;="&amp;DATE(2022,2,1),'DATA INPUT'!$A$3:$A$3000,"&lt;"&amp;DATE(2022,2,31),'DATA INPUT'!$F$3:$F$3000,"&lt;&gt;*Exclude*"))))</f>
        <v>#N/A</v>
      </c>
      <c r="AF64" s="136" t="e">
        <f>IF($L$2="Yes",IF(SUMIFS('DATA INPUT'!$E$3:$E$3000,'DATA INPUT'!$B$3:$B$3000,'Report Tables'!AF$1,'DATA INPUT'!$A$3:$A$3000,"&gt;="&amp;DATE(2022,2,1),'DATA INPUT'!$A$3:$A$3000,"&lt;"&amp;DATE(2022,2,31))=0,#N/A,(SUMIFS('DATA INPUT'!$E$3:$E$3000,'DATA INPUT'!$B$3:$B$3000,'Report Tables'!AF$1,'DATA INPUT'!$A$3:$A$3000,"&gt;="&amp;DATE(2022,2,1),'DATA INPUT'!$A$3:$A$3000,"&lt;"&amp;DATE(2022,2,31)))),IF(SUMIFS('DATA INPUT'!$E$3:$E$3000,'DATA INPUT'!$B$3:$B$3000,'Report Tables'!AF$1,'DATA INPUT'!$A$3:$A$3000,"&gt;="&amp;DATE(2022,2,1),'DATA INPUT'!$A$3:$A$3000,"&lt;"&amp;DATE(2022,2,31),'DATA INPUT'!$F$3:$F$3000,"&lt;&gt;*Exclude*")=0,#N/A,(SUMIFS('DATA INPUT'!$E$3:$E$3000,'DATA INPUT'!$B$3:$B$3000,'Report Tables'!AF$1,'DATA INPUT'!$A$3:$A$3000,"&gt;="&amp;DATE(2022,2,1),'DATA INPUT'!$A$3:$A$3000,"&lt;"&amp;DATE(2022,2,31),'DATA INPUT'!$F$3:$F$3000,"&lt;&gt;*Exclude*"))))</f>
        <v>#N/A</v>
      </c>
      <c r="AG64" s="136" t="e">
        <f>IF($L$2="Yes",IF(SUMIFS('DATA INPUT'!$E$3:$E$3000,'DATA INPUT'!$B$3:$B$3000,'Report Tables'!AG$1,'DATA INPUT'!$A$3:$A$3000,"&gt;="&amp;DATE(2022,2,1),'DATA INPUT'!$A$3:$A$3000,"&lt;"&amp;DATE(2022,2,31))=0,#N/A,(SUMIFS('DATA INPUT'!$E$3:$E$3000,'DATA INPUT'!$B$3:$B$3000,'Report Tables'!AG$1,'DATA INPUT'!$A$3:$A$3000,"&gt;="&amp;DATE(2022,2,1),'DATA INPUT'!$A$3:$A$3000,"&lt;"&amp;DATE(2022,2,31)))),IF(SUMIFS('DATA INPUT'!$E$3:$E$3000,'DATA INPUT'!$B$3:$B$3000,'Report Tables'!AG$1,'DATA INPUT'!$A$3:$A$3000,"&gt;="&amp;DATE(2022,2,1),'DATA INPUT'!$A$3:$A$3000,"&lt;"&amp;DATE(2022,2,31),'DATA INPUT'!$F$3:$F$3000,"&lt;&gt;*Exclude*")=0,#N/A,(SUMIFS('DATA INPUT'!$E$3:$E$3000,'DATA INPUT'!$B$3:$B$3000,'Report Tables'!AG$1,'DATA INPUT'!$A$3:$A$3000,"&gt;="&amp;DATE(2022,2,1),'DATA INPUT'!$A$3:$A$3000,"&lt;"&amp;DATE(2022,2,31),'DATA INPUT'!$F$3:$F$3000,"&lt;&gt;*Exclude*"))))</f>
        <v>#N/A</v>
      </c>
      <c r="AH64" s="136" t="e">
        <f>IF($L$2="Yes",IF(SUMIFS('DATA INPUT'!$E$3:$E$3000,'DATA INPUT'!$B$3:$B$3000,'Report Tables'!AH$1,'DATA INPUT'!$A$3:$A$3000,"&gt;="&amp;DATE(2022,2,1),'DATA INPUT'!$A$3:$A$3000,"&lt;"&amp;DATE(2022,2,31))=0,#N/A,(SUMIFS('DATA INPUT'!$E$3:$E$3000,'DATA INPUT'!$B$3:$B$3000,'Report Tables'!AH$1,'DATA INPUT'!$A$3:$A$3000,"&gt;="&amp;DATE(2022,2,1),'DATA INPUT'!$A$3:$A$3000,"&lt;"&amp;DATE(2022,2,31)))),IF(SUMIFS('DATA INPUT'!$E$3:$E$3000,'DATA INPUT'!$B$3:$B$3000,'Report Tables'!AH$1,'DATA INPUT'!$A$3:$A$3000,"&gt;="&amp;DATE(2022,2,1),'DATA INPUT'!$A$3:$A$3000,"&lt;"&amp;DATE(2022,2,31),'DATA INPUT'!$F$3:$F$3000,"&lt;&gt;*Exclude*")=0,#N/A,(SUMIFS('DATA INPUT'!$E$3:$E$3000,'DATA INPUT'!$B$3:$B$3000,'Report Tables'!AH$1,'DATA INPUT'!$A$3:$A$3000,"&gt;="&amp;DATE(2022,2,1),'DATA INPUT'!$A$3:$A$3000,"&lt;"&amp;DATE(2022,2,31),'DATA INPUT'!$F$3:$F$3000,"&lt;&gt;*Exclude*"))))</f>
        <v>#N/A</v>
      </c>
      <c r="AI64" s="136" t="e">
        <f t="shared" si="0"/>
        <v>#N/A</v>
      </c>
      <c r="AJ64" s="136" t="e">
        <f>IF($L$2="Yes",IF(SUMIFS('DATA INPUT'!$D$3:$D$3000,'DATA INPUT'!$A$3:$A$3000,"&gt;="&amp;DATE(2022,2,1),'DATA INPUT'!$A$3:$A$3000,"&lt;"&amp;DATE(2022,2,31),'DATA INPUT'!$G$3:$G$3000,"&lt;&gt;*School service*")=0,#N/A,(SUMIFS('DATA INPUT'!$D$3:$D$3000,'DATA INPUT'!$A$3:$A$3000,"&gt;="&amp;DATE(2022,2,1),'DATA INPUT'!$A$3:$A$3000,"&lt;"&amp;DATE(2022,2,31),'DATA INPUT'!$G$3:$G$3000,"&lt;&gt;*School service*"))),IF(SUMIFS('DATA INPUT'!$D$3:$D$3000,'DATA INPUT'!$A$3:$A$3000,"&gt;="&amp;DATE(2022,2,1),'DATA INPUT'!$A$3:$A$3000,"&lt;"&amp;DATE(2022,2,31),'DATA INPUT'!$F$3:$F$3000,"&lt;&gt;*Exclude*",'DATA INPUT'!$G$3:$G$3000,"&lt;&gt;*School service*")=0,#N/A,(SUMIFS('DATA INPUT'!$D$3:$D$3000,'DATA INPUT'!$A$3:$A$3000,"&gt;="&amp;DATE(2022,2,1),'DATA INPUT'!$A$3:$A$3000,"&lt;"&amp;DATE(2022,2,31),'DATA INPUT'!$F$3:$F$3000,"&lt;&gt;*Exclude*",'DATA INPUT'!$G$3:$G$3000,"&lt;&gt;*School service*"))))</f>
        <v>#N/A</v>
      </c>
      <c r="AK64" s="136" t="e">
        <f>AI64-AJ64</f>
        <v>#N/A</v>
      </c>
      <c r="AM64" s="117" t="e">
        <f>IF($L$2="Yes",IFERROR((SUMIFS('DATA INPUT'!$E$3:$E$3000,'DATA INPUT'!$B$3:$B$3000,'Report Tables'!AM$1,'DATA INPUT'!$A$3:$A$3000,"&gt;="&amp;DATE(2022,2,1),'DATA INPUT'!$A$3:$A$3000,"&lt;"&amp;DATE(2022,2,31)))/COUNTIFS('DATA INPUT'!$B$3:$B$3000,'Report Tables'!AM$1,'DATA INPUT'!$A$3:$A$3000,"&gt;="&amp;DATE(2022,2,1),'DATA INPUT'!$A$3:$A$3000,"&lt;"&amp;DATE(2022,2,31)),#N/A),IFERROR((SUMIFS('DATA INPUT'!$E$3:$E$3000,'DATA INPUT'!$B$3:$B$3000,'Report Tables'!AM$1,'DATA INPUT'!$A$3:$A$3000,"&gt;="&amp;DATE(2022,2,1),'DATA INPUT'!$A$3:$A$3000,"&lt;"&amp;DATE(2022,2,31),'DATA INPUT'!$F$3:$F$3000,"&lt;&gt;*Exclude*"))/(COUNTIFS('DATA INPUT'!$B$3:$B$3000,'Report Tables'!AM$1,'DATA INPUT'!$A$3:$A$3000,"&gt;="&amp;DATE(2022,2,1),'DATA INPUT'!$A$3:$A$3000,"&lt;"&amp;DATE(2022,2,31),'DATA INPUT'!$F$3:$F$3000,"&lt;&gt;*Exclude*")),#N/A))</f>
        <v>#N/A</v>
      </c>
      <c r="AN64" s="117" t="e">
        <f>IF($L$2="Yes",IFERROR((SUMIFS('DATA INPUT'!$E$3:$E$3000,'DATA INPUT'!$B$3:$B$3000,'Report Tables'!AN$1,'DATA INPUT'!$A$3:$A$3000,"&gt;="&amp;DATE(2022,2,1),'DATA INPUT'!$A$3:$A$3000,"&lt;"&amp;DATE(2022,2,31)))/COUNTIFS('DATA INPUT'!$B$3:$B$3000,'Report Tables'!AN$1,'DATA INPUT'!$A$3:$A$3000,"&gt;="&amp;DATE(2022,2,1),'DATA INPUT'!$A$3:$A$3000,"&lt;"&amp;DATE(2022,2,31)),#N/A),IFERROR((SUMIFS('DATA INPUT'!$E$3:$E$3000,'DATA INPUT'!$B$3:$B$3000,'Report Tables'!AN$1,'DATA INPUT'!$A$3:$A$3000,"&gt;="&amp;DATE(2022,2,1),'DATA INPUT'!$A$3:$A$3000,"&lt;"&amp;DATE(2022,2,31),'DATA INPUT'!$F$3:$F$3000,"&lt;&gt;*Exclude*"))/(COUNTIFS('DATA INPUT'!$B$3:$B$3000,'Report Tables'!AN$1,'DATA INPUT'!$A$3:$A$3000,"&gt;="&amp;DATE(2022,2,1),'DATA INPUT'!$A$3:$A$3000,"&lt;"&amp;DATE(2022,2,31),'DATA INPUT'!$F$3:$F$3000,"&lt;&gt;*Exclude*")),#N/A))</f>
        <v>#N/A</v>
      </c>
      <c r="AO64" s="117" t="e">
        <f>IF($L$2="Yes",IFERROR((SUMIFS('DATA INPUT'!$E$3:$E$3000,'DATA INPUT'!$B$3:$B$3000,'Report Tables'!AO$1,'DATA INPUT'!$A$3:$A$3000,"&gt;="&amp;DATE(2022,2,1),'DATA INPUT'!$A$3:$A$3000,"&lt;"&amp;DATE(2022,2,31)))/COUNTIFS('DATA INPUT'!$B$3:$B$3000,'Report Tables'!AO$1,'DATA INPUT'!$A$3:$A$3000,"&gt;="&amp;DATE(2022,2,1),'DATA INPUT'!$A$3:$A$3000,"&lt;"&amp;DATE(2022,2,31)),#N/A),IFERROR((SUMIFS('DATA INPUT'!$E$3:$E$3000,'DATA INPUT'!$B$3:$B$3000,'Report Tables'!AO$1,'DATA INPUT'!$A$3:$A$3000,"&gt;="&amp;DATE(2022,2,1),'DATA INPUT'!$A$3:$A$3000,"&lt;"&amp;DATE(2022,2,31),'DATA INPUT'!$F$3:$F$3000,"&lt;&gt;*Exclude*"))/(COUNTIFS('DATA INPUT'!$B$3:$B$3000,'Report Tables'!AO$1,'DATA INPUT'!$A$3:$A$3000,"&gt;="&amp;DATE(2022,2,1),'DATA INPUT'!$A$3:$A$3000,"&lt;"&amp;DATE(2022,2,31),'DATA INPUT'!$F$3:$F$3000,"&lt;&gt;*Exclude*")),#N/A))</f>
        <v>#N/A</v>
      </c>
      <c r="AP64" s="117" t="e">
        <f>IF($L$2="Yes",IFERROR((SUMIFS('DATA INPUT'!$E$3:$E$3000,'DATA INPUT'!$B$3:$B$3000,'Report Tables'!AP$1,'DATA INPUT'!$A$3:$A$3000,"&gt;="&amp;DATE(2022,2,1),'DATA INPUT'!$A$3:$A$3000,"&lt;"&amp;DATE(2022,2,31)))/COUNTIFS('DATA INPUT'!$B$3:$B$3000,'Report Tables'!AP$1,'DATA INPUT'!$A$3:$A$3000,"&gt;="&amp;DATE(2022,2,1),'DATA INPUT'!$A$3:$A$3000,"&lt;"&amp;DATE(2022,2,31)),#N/A),IFERROR((SUMIFS('DATA INPUT'!$E$3:$E$3000,'DATA INPUT'!$B$3:$B$3000,'Report Tables'!AP$1,'DATA INPUT'!$A$3:$A$3000,"&gt;="&amp;DATE(2022,2,1),'DATA INPUT'!$A$3:$A$3000,"&lt;"&amp;DATE(2022,2,31),'DATA INPUT'!$F$3:$F$3000,"&lt;&gt;*Exclude*"))/(COUNTIFS('DATA INPUT'!$B$3:$B$3000,'Report Tables'!AP$1,'DATA INPUT'!$A$3:$A$3000,"&gt;="&amp;DATE(2022,2,1),'DATA INPUT'!$A$3:$A$3000,"&lt;"&amp;DATE(2022,2,31),'DATA INPUT'!$F$3:$F$3000,"&lt;&gt;*Exclude*")),#N/A))</f>
        <v>#N/A</v>
      </c>
      <c r="AQ64" s="117" t="e">
        <f>IF($L$2="Yes",IFERROR((SUMIFS('DATA INPUT'!$E$3:$E$3000,'DATA INPUT'!$B$3:$B$3000,'Report Tables'!AQ$1,'DATA INPUT'!$A$3:$A$3000,"&gt;="&amp;DATE(2022,2,1),'DATA INPUT'!$A$3:$A$3000,"&lt;"&amp;DATE(2022,2,31)))/COUNTIFS('DATA INPUT'!$B$3:$B$3000,'Report Tables'!AQ$1,'DATA INPUT'!$A$3:$A$3000,"&gt;="&amp;DATE(2022,2,1),'DATA INPUT'!$A$3:$A$3000,"&lt;"&amp;DATE(2022,2,31)),#N/A),IFERROR((SUMIFS('DATA INPUT'!$E$3:$E$3000,'DATA INPUT'!$B$3:$B$3000,'Report Tables'!AQ$1,'DATA INPUT'!$A$3:$A$3000,"&gt;="&amp;DATE(2022,2,1),'DATA INPUT'!$A$3:$A$3000,"&lt;"&amp;DATE(2022,2,31),'DATA INPUT'!$F$3:$F$3000,"&lt;&gt;*Exclude*"))/(COUNTIFS('DATA INPUT'!$B$3:$B$3000,'Report Tables'!AQ$1,'DATA INPUT'!$A$3:$A$3000,"&gt;="&amp;DATE(2022,2,1),'DATA INPUT'!$A$3:$A$3000,"&lt;"&amp;DATE(2022,2,31),'DATA INPUT'!$F$3:$F$3000,"&lt;&gt;*Exclude*")),#N/A))</f>
        <v>#N/A</v>
      </c>
      <c r="AR64" s="117" t="e">
        <f>IF($L$2="Yes",IFERROR((SUMIFS('DATA INPUT'!$E$3:$E$3000,'DATA INPUT'!$B$3:$B$3000,'Report Tables'!AR$1,'DATA INPUT'!$A$3:$A$3000,"&gt;="&amp;DATE(2022,2,1),'DATA INPUT'!$A$3:$A$3000,"&lt;"&amp;DATE(2022,2,31)))/COUNTIFS('DATA INPUT'!$B$3:$B$3000,'Report Tables'!AR$1,'DATA INPUT'!$A$3:$A$3000,"&gt;="&amp;DATE(2022,2,1),'DATA INPUT'!$A$3:$A$3000,"&lt;"&amp;DATE(2022,2,31)),#N/A),IFERROR((SUMIFS('DATA INPUT'!$E$3:$E$3000,'DATA INPUT'!$B$3:$B$3000,'Report Tables'!AR$1,'DATA INPUT'!$A$3:$A$3000,"&gt;="&amp;DATE(2022,2,1),'DATA INPUT'!$A$3:$A$3000,"&lt;"&amp;DATE(2022,2,31),'DATA INPUT'!$F$3:$F$3000,"&lt;&gt;*Exclude*"))/(COUNTIFS('DATA INPUT'!$B$3:$B$3000,'Report Tables'!AR$1,'DATA INPUT'!$A$3:$A$3000,"&gt;="&amp;DATE(2022,2,1),'DATA INPUT'!$A$3:$A$3000,"&lt;"&amp;DATE(2022,2,31),'DATA INPUT'!$F$3:$F$3000,"&lt;&gt;*Exclude*")),#N/A))</f>
        <v>#N/A</v>
      </c>
      <c r="AS64" s="117" t="e">
        <f>IF($L$2="Yes",IFERROR((SUMIFS('DATA INPUT'!$E$3:$E$3000,'DATA INPUT'!$B$3:$B$3000,'Report Tables'!AS$1,'DATA INPUT'!$A$3:$A$3000,"&gt;="&amp;DATE(2022,2,1),'DATA INPUT'!$A$3:$A$3000,"&lt;"&amp;DATE(2022,2,31)))/COUNTIFS('DATA INPUT'!$B$3:$B$3000,'Report Tables'!AS$1,'DATA INPUT'!$A$3:$A$3000,"&gt;="&amp;DATE(2022,2,1),'DATA INPUT'!$A$3:$A$3000,"&lt;"&amp;DATE(2022,2,31)),#N/A),IFERROR((SUMIFS('DATA INPUT'!$E$3:$E$3000,'DATA INPUT'!$B$3:$B$3000,'Report Tables'!AS$1,'DATA INPUT'!$A$3:$A$3000,"&gt;="&amp;DATE(2022,2,1),'DATA INPUT'!$A$3:$A$3000,"&lt;"&amp;DATE(2022,2,31),'DATA INPUT'!$F$3:$F$3000,"&lt;&gt;*Exclude*"))/(COUNTIFS('DATA INPUT'!$B$3:$B$3000,'Report Tables'!AS$1,'DATA INPUT'!$A$3:$A$3000,"&gt;="&amp;DATE(2022,2,1),'DATA INPUT'!$A$3:$A$3000,"&lt;"&amp;DATE(2022,2,31),'DATA INPUT'!$F$3:$F$3000,"&lt;&gt;*Exclude*")),#N/A))</f>
        <v>#N/A</v>
      </c>
      <c r="AT64" s="117" t="e">
        <f>IF($L$2="Yes",IFERROR((SUMIFS('DATA INPUT'!$E$3:$E$3000,'DATA INPUT'!$B$3:$B$3000,'Report Tables'!AT$1,'DATA INPUT'!$A$3:$A$3000,"&gt;="&amp;DATE(2022,2,1),'DATA INPUT'!$A$3:$A$3000,"&lt;"&amp;DATE(2022,2,31)))/COUNTIFS('DATA INPUT'!$B$3:$B$3000,'Report Tables'!AT$1,'DATA INPUT'!$A$3:$A$3000,"&gt;="&amp;DATE(2022,2,1),'DATA INPUT'!$A$3:$A$3000,"&lt;"&amp;DATE(2022,2,31)),#N/A),IFERROR((SUMIFS('DATA INPUT'!$E$3:$E$3000,'DATA INPUT'!$B$3:$B$3000,'Report Tables'!AT$1,'DATA INPUT'!$A$3:$A$3000,"&gt;="&amp;DATE(2022,2,1),'DATA INPUT'!$A$3:$A$3000,"&lt;"&amp;DATE(2022,2,31),'DATA INPUT'!$F$3:$F$3000,"&lt;&gt;*Exclude*"))/(COUNTIFS('DATA INPUT'!$B$3:$B$3000,'Report Tables'!AT$1,'DATA INPUT'!$A$3:$A$3000,"&gt;="&amp;DATE(2022,2,1),'DATA INPUT'!$A$3:$A$3000,"&lt;"&amp;DATE(2022,2,31),'DATA INPUT'!$F$3:$F$3000,"&lt;&gt;*Exclude*")),#N/A))</f>
        <v>#N/A</v>
      </c>
      <c r="AU64" s="117" t="e">
        <f t="shared" si="1"/>
        <v>#N/A</v>
      </c>
      <c r="AV64" s="117" t="e">
        <f>IF($L$2="Yes",IFERROR((SUMIFS('DATA INPUT'!$D$3:$D$3000,'DATA INPUT'!$A$3:$A$3000,"&gt;="&amp;DATE(2022,2,1),'DATA INPUT'!$A$3:$A$3000,"&lt;"&amp;DATE(2022,2,31),'DATA INPUT'!$G$3:$G$3000,"&lt;&gt;*School service*"))/COUNTIFS('DATA INPUT'!$A$3:$A$3000,"&gt;="&amp;DATE(2022,2,1),'DATA INPUT'!$A$3:$A$3000,"&lt;"&amp;DATE(2022,2,31),'DATA INPUT'!$G$3:$G$3000,"&lt;&gt;*School service*",'DATA INPUT'!$D$3:$D$3000,"&lt;&gt;"&amp;""),#N/A),IFERROR((SUMIFS('DATA INPUT'!$D$3:$D$3000,'DATA INPUT'!$A$3:$A$3000,"&gt;="&amp;DATE(2022,2,1),'DATA INPUT'!$A$3:$A$3000,"&lt;"&amp;DATE(2022,2,31),'DATA INPUT'!$F$3:$F$3000,"&lt;&gt;*Exclude*",'DATA INPUT'!$G$3:$G$3000,"&lt;&gt;*School service*"))/(COUNTIFS('DATA INPUT'!$A$3:$A$3000,"&gt;="&amp;DATE(2022,2,1),'DATA INPUT'!$A$3:$A$3000,"&lt;"&amp;DATE(2022,2,31),'DATA INPUT'!$F$3:$F$3000,"&lt;&gt;*Exclude*",'DATA INPUT'!$G$3:$G$3000,"&lt;&gt;*School service*",'DATA INPUT'!$D$3:$D$3000,"&lt;&gt;"&amp;"")),#N/A))</f>
        <v>#N/A</v>
      </c>
      <c r="AW64" s="117" t="e">
        <f t="shared" si="2"/>
        <v>#N/A</v>
      </c>
      <c r="AX64" s="117" t="e">
        <f>IF($L$2="Yes",IFERROR((SUMIFS('DATA INPUT'!$E$3:$E$3000,'DATA INPUT'!$B$3:$B$3000,'Report Tables'!AX$1,'DATA INPUT'!$A$3:$A$3000,"&gt;="&amp;DATE(2022,2,1),'DATA INPUT'!$A$3:$A$3000,"&lt;"&amp;DATE(2022,2,31)))/COUNTIFS('DATA INPUT'!$B$3:$B$3000,'Report Tables'!AX$1,'DATA INPUT'!$A$3:$A$3000,"&gt;="&amp;DATE(2022,2,1),'DATA INPUT'!$A$3:$A$3000,"&lt;"&amp;DATE(2022,2,31)),#N/A),IFERROR((SUMIFS('DATA INPUT'!$E$3:$E$3000,'DATA INPUT'!$B$3:$B$3000,'Report Tables'!AX$1,'DATA INPUT'!$A$3:$A$3000,"&gt;="&amp;DATE(2022,2,1),'DATA INPUT'!$A$3:$A$3000,"&lt;"&amp;DATE(2022,2,31),'DATA INPUT'!$F$3:$F$3000,"&lt;&gt;*Exclude*"))/(COUNTIFS('DATA INPUT'!$B$3:$B$3000,'Report Tables'!AX$1,'DATA INPUT'!$A$3:$A$3000,"&gt;="&amp;DATE(2022,2,1),'DATA INPUT'!$A$3:$A$3000,"&lt;"&amp;DATE(2022,2,31),'DATA INPUT'!$F$3:$F$3000,"&lt;&gt;*Exclude*")),#N/A))</f>
        <v>#N/A</v>
      </c>
      <c r="AY64" s="117" t="e">
        <f>IF($L$2="Yes",IFERROR((SUMIFS('DATA INPUT'!$D$3:$D$3000,'DATA INPUT'!$B$3:$B$3000,'Report Tables'!AX$1,'DATA INPUT'!$A$3:$A$3000,"&gt;="&amp;DATE(2022,2,1),'DATA INPUT'!$A$3:$A$3000,"&lt;"&amp;DATE(2022,2,31)))/COUNTIFS('DATA INPUT'!$B$3:$B$3000,'Report Tables'!AX$1,'DATA INPUT'!$A$3:$A$3000,"&gt;="&amp;DATE(2022,2,1),'DATA INPUT'!$A$3:$A$3000,"&lt;"&amp;DATE(2022,2,31)),#N/A),IFERROR((SUMIFS('DATA INPUT'!$D$3:$D$3000,'DATA INPUT'!$B$3:$B$3000,'Report Tables'!AX$1,'DATA INPUT'!$A$3:$A$3000,"&gt;="&amp;DATE(2022,2,1),'DATA INPUT'!$A$3:$A$3000,"&lt;"&amp;DATE(2022,2,31),'DATA INPUT'!$F$3:$F$3000,"&lt;&gt;*Exclude*"))/(COUNTIFS('DATA INPUT'!$B$3:$B$3000,'Report Tables'!AX$1,'DATA INPUT'!$A$3:$A$3000,"&gt;="&amp;DATE(2022,2,1),'DATA INPUT'!$A$3:$A$3000,"&lt;"&amp;DATE(2022,2,31),'DATA INPUT'!$F$3:$F$3000,"&lt;&gt;*Exclude*")),#N/A))</f>
        <v>#N/A</v>
      </c>
      <c r="AZ64" s="117" t="e">
        <f>IF($L$2="Yes",IFERROR((SUMIFS('DATA INPUT'!$C$3:$C$3000,'DATA INPUT'!$B$3:$B$3000,'Report Tables'!AX$1,'DATA INPUT'!$A$3:$A$3000,"&gt;="&amp;DATE(2022,2,1),'DATA INPUT'!$A$3:$A$3000,"&lt;"&amp;DATE(2022,2,31)))/COUNTIFS('DATA INPUT'!$B$3:$B$3000,'Report Tables'!AX$1,'DATA INPUT'!$A$3:$A$3000,"&gt;="&amp;DATE(2022,2,1),'DATA INPUT'!$A$3:$A$3000,"&lt;"&amp;DATE(2022,2,31)),#N/A),IFERROR((SUMIFS('DATA INPUT'!$C$3:$C$3000,'DATA INPUT'!$B$3:$B$3000,'Report Tables'!AX$1,'DATA INPUT'!$A$3:$A$3000,"&gt;="&amp;DATE(2022,2,1),'DATA INPUT'!$A$3:$A$3000,"&lt;"&amp;DATE(2022,2,31),'DATA INPUT'!$F$3:$F$3000,"&lt;&gt;*Exclude*"))/(COUNTIFS('DATA INPUT'!$B$3:$B$3000,'Report Tables'!AX$1,'DATA INPUT'!$A$3:$A$3000,"&gt;="&amp;DATE(2022,2,1),'DATA INPUT'!$A$3:$A$3000,"&lt;"&amp;DATE(2022,2,31),'DATA INPUT'!$F$3:$F$3000,"&lt;&gt;*Exclude*")),#N/A))</f>
        <v>#N/A</v>
      </c>
    </row>
    <row r="65" spans="25:52" x14ac:dyDescent="0.3">
      <c r="Y65" s="149"/>
      <c r="Z65" s="149" t="s">
        <v>14</v>
      </c>
      <c r="AA65" s="136" t="e">
        <f>IF($L$2="Yes",IF(SUMIFS('DATA INPUT'!$E$3:$E$3000,'DATA INPUT'!$B$3:$B$3000,'Report Tables'!AA$1,'DATA INPUT'!$A$3:$A$3000,"&gt;="&amp;DATE(2022,3,1),'DATA INPUT'!$A$3:$A$3000,"&lt;"&amp;DATE(2022,3,31))=0,#N/A,(SUMIFS('DATA INPUT'!$E$3:$E$3000,'DATA INPUT'!$B$3:$B$3000,'Report Tables'!AA$1,'DATA INPUT'!$A$3:$A$3000,"&gt;="&amp;DATE(2022,3,1),'DATA INPUT'!$A$3:$A$3000,"&lt;"&amp;DATE(2022,3,31)))),IF(SUMIFS('DATA INPUT'!$E$3:$E$3000,'DATA INPUT'!$B$3:$B$3000,'Report Tables'!AA$1,'DATA INPUT'!$A$3:$A$3000,"&gt;="&amp;DATE(2022,3,1),'DATA INPUT'!$A$3:$A$3000,"&lt;"&amp;DATE(2022,3,31),'DATA INPUT'!$F$3:$F$3000,"&lt;&gt;*Exclude*")=0,#N/A,(SUMIFS('DATA INPUT'!$E$3:$E$3000,'DATA INPUT'!$B$3:$B$3000,'Report Tables'!AA$1,'DATA INPUT'!$A$3:$A$3000,"&gt;="&amp;DATE(2022,3,1),'DATA INPUT'!$A$3:$A$3000,"&lt;"&amp;DATE(2022,3,31),'DATA INPUT'!$F$3:$F$3000,"&lt;&gt;*Exclude*"))))</f>
        <v>#N/A</v>
      </c>
      <c r="AB65" s="136" t="e">
        <f>IF($L$2="Yes",IF(SUMIFS('DATA INPUT'!$E$3:$E$3000,'DATA INPUT'!$B$3:$B$3000,'Report Tables'!AB$1,'DATA INPUT'!$A$3:$A$3000,"&gt;="&amp;DATE(2022,3,1),'DATA INPUT'!$A$3:$A$3000,"&lt;"&amp;DATE(2022,3,31))=0,#N/A,(SUMIFS('DATA INPUT'!$E$3:$E$3000,'DATA INPUT'!$B$3:$B$3000,'Report Tables'!AB$1,'DATA INPUT'!$A$3:$A$3000,"&gt;="&amp;DATE(2022,3,1),'DATA INPUT'!$A$3:$A$3000,"&lt;"&amp;DATE(2022,3,31)))),IF(SUMIFS('DATA INPUT'!$E$3:$E$3000,'DATA INPUT'!$B$3:$B$3000,'Report Tables'!AB$1,'DATA INPUT'!$A$3:$A$3000,"&gt;="&amp;DATE(2022,3,1),'DATA INPUT'!$A$3:$A$3000,"&lt;"&amp;DATE(2022,3,31),'DATA INPUT'!$F$3:$F$3000,"&lt;&gt;*Exclude*")=0,#N/A,(SUMIFS('DATA INPUT'!$E$3:$E$3000,'DATA INPUT'!$B$3:$B$3000,'Report Tables'!AB$1,'DATA INPUT'!$A$3:$A$3000,"&gt;="&amp;DATE(2022,3,1),'DATA INPUT'!$A$3:$A$3000,"&lt;"&amp;DATE(2022,3,31),'DATA INPUT'!$F$3:$F$3000,"&lt;&gt;*Exclude*"))))</f>
        <v>#N/A</v>
      </c>
      <c r="AC65" s="136" t="e">
        <f>IF($L$2="Yes",IF(SUMIFS('DATA INPUT'!$E$3:$E$3000,'DATA INPUT'!$B$3:$B$3000,'Report Tables'!AC$1,'DATA INPUT'!$A$3:$A$3000,"&gt;="&amp;DATE(2022,3,1),'DATA INPUT'!$A$3:$A$3000,"&lt;"&amp;DATE(2022,3,31))=0,#N/A,(SUMIFS('DATA INPUT'!$E$3:$E$3000,'DATA INPUT'!$B$3:$B$3000,'Report Tables'!AC$1,'DATA INPUT'!$A$3:$A$3000,"&gt;="&amp;DATE(2022,3,1),'DATA INPUT'!$A$3:$A$3000,"&lt;"&amp;DATE(2022,3,31)))),IF(SUMIFS('DATA INPUT'!$E$3:$E$3000,'DATA INPUT'!$B$3:$B$3000,'Report Tables'!AC$1,'DATA INPUT'!$A$3:$A$3000,"&gt;="&amp;DATE(2022,3,1),'DATA INPUT'!$A$3:$A$3000,"&lt;"&amp;DATE(2022,3,31),'DATA INPUT'!$F$3:$F$3000,"&lt;&gt;*Exclude*")=0,#N/A,(SUMIFS('DATA INPUT'!$E$3:$E$3000,'DATA INPUT'!$B$3:$B$3000,'Report Tables'!AC$1,'DATA INPUT'!$A$3:$A$3000,"&gt;="&amp;DATE(2022,3,1),'DATA INPUT'!$A$3:$A$3000,"&lt;"&amp;DATE(2022,3,31),'DATA INPUT'!$F$3:$F$3000,"&lt;&gt;*Exclude*"))))</f>
        <v>#N/A</v>
      </c>
      <c r="AD65" s="136" t="e">
        <f>IF($L$2="Yes",IF(SUMIFS('DATA INPUT'!$E$3:$E$3000,'DATA INPUT'!$B$3:$B$3000,'Report Tables'!AD$1,'DATA INPUT'!$A$3:$A$3000,"&gt;="&amp;DATE(2022,3,1),'DATA INPUT'!$A$3:$A$3000,"&lt;"&amp;DATE(2022,3,31))=0,#N/A,(SUMIFS('DATA INPUT'!$E$3:$E$3000,'DATA INPUT'!$B$3:$B$3000,'Report Tables'!AD$1,'DATA INPUT'!$A$3:$A$3000,"&gt;="&amp;DATE(2022,3,1),'DATA INPUT'!$A$3:$A$3000,"&lt;"&amp;DATE(2022,3,31)))),IF(SUMIFS('DATA INPUT'!$E$3:$E$3000,'DATA INPUT'!$B$3:$B$3000,'Report Tables'!AD$1,'DATA INPUT'!$A$3:$A$3000,"&gt;="&amp;DATE(2022,3,1),'DATA INPUT'!$A$3:$A$3000,"&lt;"&amp;DATE(2022,3,31),'DATA INPUT'!$F$3:$F$3000,"&lt;&gt;*Exclude*")=0,#N/A,(SUMIFS('DATA INPUT'!$E$3:$E$3000,'DATA INPUT'!$B$3:$B$3000,'Report Tables'!AD$1,'DATA INPUT'!$A$3:$A$3000,"&gt;="&amp;DATE(2022,3,1),'DATA INPUT'!$A$3:$A$3000,"&lt;"&amp;DATE(2022,3,31),'DATA INPUT'!$F$3:$F$3000,"&lt;&gt;*Exclude*"))))</f>
        <v>#N/A</v>
      </c>
      <c r="AE65" s="136" t="e">
        <f>IF($L$2="Yes",IF(SUMIFS('DATA INPUT'!$E$3:$E$3000,'DATA INPUT'!$B$3:$B$3000,'Report Tables'!AE$1,'DATA INPUT'!$A$3:$A$3000,"&gt;="&amp;DATE(2022,3,1),'DATA INPUT'!$A$3:$A$3000,"&lt;"&amp;DATE(2022,3,31))=0,#N/A,(SUMIFS('DATA INPUT'!$E$3:$E$3000,'DATA INPUT'!$B$3:$B$3000,'Report Tables'!AE$1,'DATA INPUT'!$A$3:$A$3000,"&gt;="&amp;DATE(2022,3,1),'DATA INPUT'!$A$3:$A$3000,"&lt;"&amp;DATE(2022,3,31)))),IF(SUMIFS('DATA INPUT'!$E$3:$E$3000,'DATA INPUT'!$B$3:$B$3000,'Report Tables'!AE$1,'DATA INPUT'!$A$3:$A$3000,"&gt;="&amp;DATE(2022,3,1),'DATA INPUT'!$A$3:$A$3000,"&lt;"&amp;DATE(2022,3,31),'DATA INPUT'!$F$3:$F$3000,"&lt;&gt;*Exclude*")=0,#N/A,(SUMIFS('DATA INPUT'!$E$3:$E$3000,'DATA INPUT'!$B$3:$B$3000,'Report Tables'!AE$1,'DATA INPUT'!$A$3:$A$3000,"&gt;="&amp;DATE(2022,3,1),'DATA INPUT'!$A$3:$A$3000,"&lt;"&amp;DATE(2022,3,31),'DATA INPUT'!$F$3:$F$3000,"&lt;&gt;*Exclude*"))))</f>
        <v>#N/A</v>
      </c>
      <c r="AF65" s="136" t="e">
        <f>IF($L$2="Yes",IF(SUMIFS('DATA INPUT'!$E$3:$E$3000,'DATA INPUT'!$B$3:$B$3000,'Report Tables'!AF$1,'DATA INPUT'!$A$3:$A$3000,"&gt;="&amp;DATE(2022,3,1),'DATA INPUT'!$A$3:$A$3000,"&lt;"&amp;DATE(2022,3,31))=0,#N/A,(SUMIFS('DATA INPUT'!$E$3:$E$3000,'DATA INPUT'!$B$3:$B$3000,'Report Tables'!AF$1,'DATA INPUT'!$A$3:$A$3000,"&gt;="&amp;DATE(2022,3,1),'DATA INPUT'!$A$3:$A$3000,"&lt;"&amp;DATE(2022,3,31)))),IF(SUMIFS('DATA INPUT'!$E$3:$E$3000,'DATA INPUT'!$B$3:$B$3000,'Report Tables'!AF$1,'DATA INPUT'!$A$3:$A$3000,"&gt;="&amp;DATE(2022,3,1),'DATA INPUT'!$A$3:$A$3000,"&lt;"&amp;DATE(2022,3,31),'DATA INPUT'!$F$3:$F$3000,"&lt;&gt;*Exclude*")=0,#N/A,(SUMIFS('DATA INPUT'!$E$3:$E$3000,'DATA INPUT'!$B$3:$B$3000,'Report Tables'!AF$1,'DATA INPUT'!$A$3:$A$3000,"&gt;="&amp;DATE(2022,3,1),'DATA INPUT'!$A$3:$A$3000,"&lt;"&amp;DATE(2022,3,31),'DATA INPUT'!$F$3:$F$3000,"&lt;&gt;*Exclude*"))))</f>
        <v>#N/A</v>
      </c>
      <c r="AG65" s="136" t="e">
        <f>IF($L$2="Yes",IF(SUMIFS('DATA INPUT'!$E$3:$E$3000,'DATA INPUT'!$B$3:$B$3000,'Report Tables'!AG$1,'DATA INPUT'!$A$3:$A$3000,"&gt;="&amp;DATE(2022,3,1),'DATA INPUT'!$A$3:$A$3000,"&lt;"&amp;DATE(2022,3,31))=0,#N/A,(SUMIFS('DATA INPUT'!$E$3:$E$3000,'DATA INPUT'!$B$3:$B$3000,'Report Tables'!AG$1,'DATA INPUT'!$A$3:$A$3000,"&gt;="&amp;DATE(2022,3,1),'DATA INPUT'!$A$3:$A$3000,"&lt;"&amp;DATE(2022,3,31)))),IF(SUMIFS('DATA INPUT'!$E$3:$E$3000,'DATA INPUT'!$B$3:$B$3000,'Report Tables'!AG$1,'DATA INPUT'!$A$3:$A$3000,"&gt;="&amp;DATE(2022,3,1),'DATA INPUT'!$A$3:$A$3000,"&lt;"&amp;DATE(2022,3,31),'DATA INPUT'!$F$3:$F$3000,"&lt;&gt;*Exclude*")=0,#N/A,(SUMIFS('DATA INPUT'!$E$3:$E$3000,'DATA INPUT'!$B$3:$B$3000,'Report Tables'!AG$1,'DATA INPUT'!$A$3:$A$3000,"&gt;="&amp;DATE(2022,3,1),'DATA INPUT'!$A$3:$A$3000,"&lt;"&amp;DATE(2022,3,31),'DATA INPUT'!$F$3:$F$3000,"&lt;&gt;*Exclude*"))))</f>
        <v>#N/A</v>
      </c>
      <c r="AH65" s="136" t="e">
        <f>IF($L$2="Yes",IF(SUMIFS('DATA INPUT'!$E$3:$E$3000,'DATA INPUT'!$B$3:$B$3000,'Report Tables'!AH$1,'DATA INPUT'!$A$3:$A$3000,"&gt;="&amp;DATE(2022,3,1),'DATA INPUT'!$A$3:$A$3000,"&lt;"&amp;DATE(2022,3,31))=0,#N/A,(SUMIFS('DATA INPUT'!$E$3:$E$3000,'DATA INPUT'!$B$3:$B$3000,'Report Tables'!AH$1,'DATA INPUT'!$A$3:$A$3000,"&gt;="&amp;DATE(2022,3,1),'DATA INPUT'!$A$3:$A$3000,"&lt;"&amp;DATE(2022,3,31)))),IF(SUMIFS('DATA INPUT'!$E$3:$E$3000,'DATA INPUT'!$B$3:$B$3000,'Report Tables'!AH$1,'DATA INPUT'!$A$3:$A$3000,"&gt;="&amp;DATE(2022,3,1),'DATA INPUT'!$A$3:$A$3000,"&lt;"&amp;DATE(2022,3,31),'DATA INPUT'!$F$3:$F$3000,"&lt;&gt;*Exclude*")=0,#N/A,(SUMIFS('DATA INPUT'!$E$3:$E$3000,'DATA INPUT'!$B$3:$B$3000,'Report Tables'!AH$1,'DATA INPUT'!$A$3:$A$3000,"&gt;="&amp;DATE(2022,3,1),'DATA INPUT'!$A$3:$A$3000,"&lt;"&amp;DATE(2022,3,31),'DATA INPUT'!$F$3:$F$3000,"&lt;&gt;*Exclude*"))))</f>
        <v>#N/A</v>
      </c>
      <c r="AI65" s="136" t="e">
        <f t="shared" si="0"/>
        <v>#N/A</v>
      </c>
      <c r="AJ65" s="136" t="e">
        <f>IF($L$2="Yes",IF(SUMIFS('DATA INPUT'!$D$3:$D$3000,'DATA INPUT'!$A$3:$A$3000,"&gt;="&amp;DATE(2022,3,1),'DATA INPUT'!$A$3:$A$3000,"&lt;"&amp;DATE(2022,3,31),'DATA INPUT'!$G$3:$G$3000,"&lt;&gt;*School service*")=0,#N/A,(SUMIFS('DATA INPUT'!$D$3:$D$3000,'DATA INPUT'!$A$3:$A$3000,"&gt;="&amp;DATE(2022,3,1),'DATA INPUT'!$A$3:$A$3000,"&lt;"&amp;DATE(2022,3,31),'DATA INPUT'!$G$3:$G$3000,"&lt;&gt;*School service*"))),IF(SUMIFS('DATA INPUT'!$D$3:$D$3000,'DATA INPUT'!$A$3:$A$3000,"&gt;="&amp;DATE(2022,3,1),'DATA INPUT'!$A$3:$A$3000,"&lt;"&amp;DATE(2022,3,31),'DATA INPUT'!$F$3:$F$3000,"&lt;&gt;*Exclude*",'DATA INPUT'!$G$3:$G$3000,"&lt;&gt;*School service*")=0,#N/A,(SUMIFS('DATA INPUT'!$D$3:$D$3000,'DATA INPUT'!$A$3:$A$3000,"&gt;="&amp;DATE(2022,3,1),'DATA INPUT'!$A$3:$A$3000,"&lt;"&amp;DATE(2022,3,31),'DATA INPUT'!$F$3:$F$3000,"&lt;&gt;*Exclude*",'DATA INPUT'!$G$3:$G$3000,"&lt;&gt;*School service*"))))</f>
        <v>#N/A</v>
      </c>
      <c r="AK65" s="136" t="e">
        <f>AI65-AJ65</f>
        <v>#N/A</v>
      </c>
      <c r="AM65" s="117" t="e">
        <f>IF($L$2="Yes",IFERROR((SUMIFS('DATA INPUT'!$E$3:$E$3000,'DATA INPUT'!$B$3:$B$3000,'Report Tables'!AM$1,'DATA INPUT'!$A$3:$A$3000,"&gt;="&amp;DATE(2022,3,1),'DATA INPUT'!$A$3:$A$3000,"&lt;"&amp;DATE(2022,3,31)))/COUNTIFS('DATA INPUT'!$B$3:$B$3000,'Report Tables'!AM$1,'DATA INPUT'!$A$3:$A$3000,"&gt;="&amp;DATE(2022,3,1),'DATA INPUT'!$A$3:$A$3000,"&lt;"&amp;DATE(2022,3,31)),#N/A),IFERROR((SUMIFS('DATA INPUT'!$E$3:$E$3000,'DATA INPUT'!$B$3:$B$3000,'Report Tables'!AM$1,'DATA INPUT'!$A$3:$A$3000,"&gt;="&amp;DATE(2022,3,1),'DATA INPUT'!$A$3:$A$3000,"&lt;"&amp;DATE(2022,3,31),'DATA INPUT'!$F$3:$F$3000,"&lt;&gt;*Exclude*"))/(COUNTIFS('DATA INPUT'!$B$3:$B$3000,'Report Tables'!AM$1,'DATA INPUT'!$A$3:$A$3000,"&gt;="&amp;DATE(2022,3,1),'DATA INPUT'!$A$3:$A$3000,"&lt;"&amp;DATE(2022,3,31),'DATA INPUT'!$F$3:$F$3000,"&lt;&gt;*Exclude*")),#N/A))</f>
        <v>#N/A</v>
      </c>
      <c r="AN65" s="117" t="e">
        <f>IF($L$2="Yes",IFERROR((SUMIFS('DATA INPUT'!$E$3:$E$3000,'DATA INPUT'!$B$3:$B$3000,'Report Tables'!AN$1,'DATA INPUT'!$A$3:$A$3000,"&gt;="&amp;DATE(2022,3,1),'DATA INPUT'!$A$3:$A$3000,"&lt;"&amp;DATE(2022,3,31)))/COUNTIFS('DATA INPUT'!$B$3:$B$3000,'Report Tables'!AN$1,'DATA INPUT'!$A$3:$A$3000,"&gt;="&amp;DATE(2022,3,1),'DATA INPUT'!$A$3:$A$3000,"&lt;"&amp;DATE(2022,3,31)),#N/A),IFERROR((SUMIFS('DATA INPUT'!$E$3:$E$3000,'DATA INPUT'!$B$3:$B$3000,'Report Tables'!AN$1,'DATA INPUT'!$A$3:$A$3000,"&gt;="&amp;DATE(2022,3,1),'DATA INPUT'!$A$3:$A$3000,"&lt;"&amp;DATE(2022,3,31),'DATA INPUT'!$F$3:$F$3000,"&lt;&gt;*Exclude*"))/(COUNTIFS('DATA INPUT'!$B$3:$B$3000,'Report Tables'!AN$1,'DATA INPUT'!$A$3:$A$3000,"&gt;="&amp;DATE(2022,3,1),'DATA INPUT'!$A$3:$A$3000,"&lt;"&amp;DATE(2022,3,31),'DATA INPUT'!$F$3:$F$3000,"&lt;&gt;*Exclude*")),#N/A))</f>
        <v>#N/A</v>
      </c>
      <c r="AO65" s="117" t="e">
        <f>IF($L$2="Yes",IFERROR((SUMIFS('DATA INPUT'!$E$3:$E$3000,'DATA INPUT'!$B$3:$B$3000,'Report Tables'!AO$1,'DATA INPUT'!$A$3:$A$3000,"&gt;="&amp;DATE(2022,3,1),'DATA INPUT'!$A$3:$A$3000,"&lt;"&amp;DATE(2022,3,31)))/COUNTIFS('DATA INPUT'!$B$3:$B$3000,'Report Tables'!AO$1,'DATA INPUT'!$A$3:$A$3000,"&gt;="&amp;DATE(2022,3,1),'DATA INPUT'!$A$3:$A$3000,"&lt;"&amp;DATE(2022,3,31)),#N/A),IFERROR((SUMIFS('DATA INPUT'!$E$3:$E$3000,'DATA INPUT'!$B$3:$B$3000,'Report Tables'!AO$1,'DATA INPUT'!$A$3:$A$3000,"&gt;="&amp;DATE(2022,3,1),'DATA INPUT'!$A$3:$A$3000,"&lt;"&amp;DATE(2022,3,31),'DATA INPUT'!$F$3:$F$3000,"&lt;&gt;*Exclude*"))/(COUNTIFS('DATA INPUT'!$B$3:$B$3000,'Report Tables'!AO$1,'DATA INPUT'!$A$3:$A$3000,"&gt;="&amp;DATE(2022,3,1),'DATA INPUT'!$A$3:$A$3000,"&lt;"&amp;DATE(2022,3,31),'DATA INPUT'!$F$3:$F$3000,"&lt;&gt;*Exclude*")),#N/A))</f>
        <v>#N/A</v>
      </c>
      <c r="AP65" s="117" t="e">
        <f>IF($L$2="Yes",IFERROR((SUMIFS('DATA INPUT'!$E$3:$E$3000,'DATA INPUT'!$B$3:$B$3000,'Report Tables'!AP$1,'DATA INPUT'!$A$3:$A$3000,"&gt;="&amp;DATE(2022,3,1),'DATA INPUT'!$A$3:$A$3000,"&lt;"&amp;DATE(2022,3,31)))/COUNTIFS('DATA INPUT'!$B$3:$B$3000,'Report Tables'!AP$1,'DATA INPUT'!$A$3:$A$3000,"&gt;="&amp;DATE(2022,3,1),'DATA INPUT'!$A$3:$A$3000,"&lt;"&amp;DATE(2022,3,31)),#N/A),IFERROR((SUMIFS('DATA INPUT'!$E$3:$E$3000,'DATA INPUT'!$B$3:$B$3000,'Report Tables'!AP$1,'DATA INPUT'!$A$3:$A$3000,"&gt;="&amp;DATE(2022,3,1),'DATA INPUT'!$A$3:$A$3000,"&lt;"&amp;DATE(2022,3,31),'DATA INPUT'!$F$3:$F$3000,"&lt;&gt;*Exclude*"))/(COUNTIFS('DATA INPUT'!$B$3:$B$3000,'Report Tables'!AP$1,'DATA INPUT'!$A$3:$A$3000,"&gt;="&amp;DATE(2022,3,1),'DATA INPUT'!$A$3:$A$3000,"&lt;"&amp;DATE(2022,3,31),'DATA INPUT'!$F$3:$F$3000,"&lt;&gt;*Exclude*")),#N/A))</f>
        <v>#N/A</v>
      </c>
      <c r="AQ65" s="117" t="e">
        <f>IF($L$2="Yes",IFERROR((SUMIFS('DATA INPUT'!$E$3:$E$3000,'DATA INPUT'!$B$3:$B$3000,'Report Tables'!AQ$1,'DATA INPUT'!$A$3:$A$3000,"&gt;="&amp;DATE(2022,3,1),'DATA INPUT'!$A$3:$A$3000,"&lt;"&amp;DATE(2022,3,31)))/COUNTIFS('DATA INPUT'!$B$3:$B$3000,'Report Tables'!AQ$1,'DATA INPUT'!$A$3:$A$3000,"&gt;="&amp;DATE(2022,3,1),'DATA INPUT'!$A$3:$A$3000,"&lt;"&amp;DATE(2022,3,31)),#N/A),IFERROR((SUMIFS('DATA INPUT'!$E$3:$E$3000,'DATA INPUT'!$B$3:$B$3000,'Report Tables'!AQ$1,'DATA INPUT'!$A$3:$A$3000,"&gt;="&amp;DATE(2022,3,1),'DATA INPUT'!$A$3:$A$3000,"&lt;"&amp;DATE(2022,3,31),'DATA INPUT'!$F$3:$F$3000,"&lt;&gt;*Exclude*"))/(COUNTIFS('DATA INPUT'!$B$3:$B$3000,'Report Tables'!AQ$1,'DATA INPUT'!$A$3:$A$3000,"&gt;="&amp;DATE(2022,3,1),'DATA INPUT'!$A$3:$A$3000,"&lt;"&amp;DATE(2022,3,31),'DATA INPUT'!$F$3:$F$3000,"&lt;&gt;*Exclude*")),#N/A))</f>
        <v>#N/A</v>
      </c>
      <c r="AR65" s="117" t="e">
        <f>IF($L$2="Yes",IFERROR((SUMIFS('DATA INPUT'!$E$3:$E$3000,'DATA INPUT'!$B$3:$B$3000,'Report Tables'!AR$1,'DATA INPUT'!$A$3:$A$3000,"&gt;="&amp;DATE(2022,3,1),'DATA INPUT'!$A$3:$A$3000,"&lt;"&amp;DATE(2022,3,31)))/COUNTIFS('DATA INPUT'!$B$3:$B$3000,'Report Tables'!AR$1,'DATA INPUT'!$A$3:$A$3000,"&gt;="&amp;DATE(2022,3,1),'DATA INPUT'!$A$3:$A$3000,"&lt;"&amp;DATE(2022,3,31)),#N/A),IFERROR((SUMIFS('DATA INPUT'!$E$3:$E$3000,'DATA INPUT'!$B$3:$B$3000,'Report Tables'!AR$1,'DATA INPUT'!$A$3:$A$3000,"&gt;="&amp;DATE(2022,3,1),'DATA INPUT'!$A$3:$A$3000,"&lt;"&amp;DATE(2022,3,31),'DATA INPUT'!$F$3:$F$3000,"&lt;&gt;*Exclude*"))/(COUNTIFS('DATA INPUT'!$B$3:$B$3000,'Report Tables'!AR$1,'DATA INPUT'!$A$3:$A$3000,"&gt;="&amp;DATE(2022,3,1),'DATA INPUT'!$A$3:$A$3000,"&lt;"&amp;DATE(2022,3,31),'DATA INPUT'!$F$3:$F$3000,"&lt;&gt;*Exclude*")),#N/A))</f>
        <v>#N/A</v>
      </c>
      <c r="AS65" s="117" t="e">
        <f>IF($L$2="Yes",IFERROR((SUMIFS('DATA INPUT'!$E$3:$E$3000,'DATA INPUT'!$B$3:$B$3000,'Report Tables'!AS$1,'DATA INPUT'!$A$3:$A$3000,"&gt;="&amp;DATE(2022,3,1),'DATA INPUT'!$A$3:$A$3000,"&lt;"&amp;DATE(2022,3,31)))/COUNTIFS('DATA INPUT'!$B$3:$B$3000,'Report Tables'!AS$1,'DATA INPUT'!$A$3:$A$3000,"&gt;="&amp;DATE(2022,3,1),'DATA INPUT'!$A$3:$A$3000,"&lt;"&amp;DATE(2022,3,31)),#N/A),IFERROR((SUMIFS('DATA INPUT'!$E$3:$E$3000,'DATA INPUT'!$B$3:$B$3000,'Report Tables'!AS$1,'DATA INPUT'!$A$3:$A$3000,"&gt;="&amp;DATE(2022,3,1),'DATA INPUT'!$A$3:$A$3000,"&lt;"&amp;DATE(2022,3,31),'DATA INPUT'!$F$3:$F$3000,"&lt;&gt;*Exclude*"))/(COUNTIFS('DATA INPUT'!$B$3:$B$3000,'Report Tables'!AS$1,'DATA INPUT'!$A$3:$A$3000,"&gt;="&amp;DATE(2022,3,1),'DATA INPUT'!$A$3:$A$3000,"&lt;"&amp;DATE(2022,3,31),'DATA INPUT'!$F$3:$F$3000,"&lt;&gt;*Exclude*")),#N/A))</f>
        <v>#N/A</v>
      </c>
      <c r="AT65" s="117" t="e">
        <f>IF($L$2="Yes",IFERROR((SUMIFS('DATA INPUT'!$E$3:$E$3000,'DATA INPUT'!$B$3:$B$3000,'Report Tables'!AT$1,'DATA INPUT'!$A$3:$A$3000,"&gt;="&amp;DATE(2022,3,1),'DATA INPUT'!$A$3:$A$3000,"&lt;"&amp;DATE(2022,3,31)))/COUNTIFS('DATA INPUT'!$B$3:$B$3000,'Report Tables'!AT$1,'DATA INPUT'!$A$3:$A$3000,"&gt;="&amp;DATE(2022,3,1),'DATA INPUT'!$A$3:$A$3000,"&lt;"&amp;DATE(2022,3,31)),#N/A),IFERROR((SUMIFS('DATA INPUT'!$E$3:$E$3000,'DATA INPUT'!$B$3:$B$3000,'Report Tables'!AT$1,'DATA INPUT'!$A$3:$A$3000,"&gt;="&amp;DATE(2022,3,1),'DATA INPUT'!$A$3:$A$3000,"&lt;"&amp;DATE(2022,3,31),'DATA INPUT'!$F$3:$F$3000,"&lt;&gt;*Exclude*"))/(COUNTIFS('DATA INPUT'!$B$3:$B$3000,'Report Tables'!AT$1,'DATA INPUT'!$A$3:$A$3000,"&gt;="&amp;DATE(2022,3,1),'DATA INPUT'!$A$3:$A$3000,"&lt;"&amp;DATE(2022,3,31),'DATA INPUT'!$F$3:$F$3000,"&lt;&gt;*Exclude*")),#N/A))</f>
        <v>#N/A</v>
      </c>
      <c r="AU65" s="117" t="e">
        <f t="shared" si="1"/>
        <v>#N/A</v>
      </c>
      <c r="AV65" s="117" t="e">
        <f>IF($L$2="Yes",IFERROR((SUMIFS('DATA INPUT'!$D$3:$D$3000,'DATA INPUT'!$A$3:$A$3000,"&gt;="&amp;DATE(2022,3,1),'DATA INPUT'!$A$3:$A$3000,"&lt;"&amp;DATE(2022,3,31),'DATA INPUT'!$G$3:$G$3000,"&lt;&gt;*School service*"))/COUNTIFS('DATA INPUT'!$A$3:$A$3000,"&gt;="&amp;DATE(2022,3,1),'DATA INPUT'!$A$3:$A$3000,"&lt;"&amp;DATE(2022,3,31),'DATA INPUT'!$G$3:$G$3000,"&lt;&gt;*School service*",'DATA INPUT'!$D$3:$D$3000,"&lt;&gt;"&amp;""),#N/A),IFERROR((SUMIFS('DATA INPUT'!$D$3:$D$3000,'DATA INPUT'!$A$3:$A$3000,"&gt;="&amp;DATE(2022,3,1),'DATA INPUT'!$A$3:$A$3000,"&lt;"&amp;DATE(2022,3,31),'DATA INPUT'!$F$3:$F$3000,"&lt;&gt;*Exclude*",'DATA INPUT'!$G$3:$G$3000,"&lt;&gt;*School service*"))/(COUNTIFS('DATA INPUT'!$A$3:$A$3000,"&gt;="&amp;DATE(2022,3,1),'DATA INPUT'!$A$3:$A$3000,"&lt;"&amp;DATE(2022,3,31),'DATA INPUT'!$F$3:$F$3000,"&lt;&gt;*Exclude*",'DATA INPUT'!$G$3:$G$3000,"&lt;&gt;*School service*",'DATA INPUT'!$D$3:$D$3000,"&lt;&gt;"&amp;"")),#N/A))</f>
        <v>#N/A</v>
      </c>
      <c r="AW65" s="117" t="e">
        <f t="shared" si="2"/>
        <v>#N/A</v>
      </c>
      <c r="AX65" s="117" t="e">
        <f>IF($L$2="Yes",IFERROR((SUMIFS('DATA INPUT'!$E$3:$E$3000,'DATA INPUT'!$B$3:$B$3000,'Report Tables'!AX$1,'DATA INPUT'!$A$3:$A$3000,"&gt;="&amp;DATE(2022,3,1),'DATA INPUT'!$A$3:$A$3000,"&lt;"&amp;DATE(2022,3,31)))/COUNTIFS('DATA INPUT'!$B$3:$B$3000,'Report Tables'!AX$1,'DATA INPUT'!$A$3:$A$3000,"&gt;="&amp;DATE(2022,3,1),'DATA INPUT'!$A$3:$A$3000,"&lt;"&amp;DATE(2022,3,31)),#N/A),IFERROR((SUMIFS('DATA INPUT'!$E$3:$E$3000,'DATA INPUT'!$B$3:$B$3000,'Report Tables'!AX$1,'DATA INPUT'!$A$3:$A$3000,"&gt;="&amp;DATE(2022,3,1),'DATA INPUT'!$A$3:$A$3000,"&lt;"&amp;DATE(2022,3,31),'DATA INPUT'!$F$3:$F$3000,"&lt;&gt;*Exclude*"))/(COUNTIFS('DATA INPUT'!$B$3:$B$3000,'Report Tables'!AX$1,'DATA INPUT'!$A$3:$A$3000,"&gt;="&amp;DATE(2022,3,1),'DATA INPUT'!$A$3:$A$3000,"&lt;"&amp;DATE(2022,3,31),'DATA INPUT'!$F$3:$F$3000,"&lt;&gt;*Exclude*")),#N/A))</f>
        <v>#N/A</v>
      </c>
      <c r="AY65" s="117" t="e">
        <f>IF($L$2="Yes",IFERROR((SUMIFS('DATA INPUT'!$D$3:$D$3000,'DATA INPUT'!$B$3:$B$3000,'Report Tables'!AX$1,'DATA INPUT'!$A$3:$A$3000,"&gt;="&amp;DATE(2022,3,1),'DATA INPUT'!$A$3:$A$3000,"&lt;"&amp;DATE(2022,3,31)))/COUNTIFS('DATA INPUT'!$B$3:$B$3000,'Report Tables'!AX$1,'DATA INPUT'!$A$3:$A$3000,"&gt;="&amp;DATE(2022,3,1),'DATA INPUT'!$A$3:$A$3000,"&lt;"&amp;DATE(2022,3,31)),#N/A),IFERROR((SUMIFS('DATA INPUT'!$D$3:$D$3000,'DATA INPUT'!$B$3:$B$3000,'Report Tables'!AX$1,'DATA INPUT'!$A$3:$A$3000,"&gt;="&amp;DATE(2022,3,1),'DATA INPUT'!$A$3:$A$3000,"&lt;"&amp;DATE(2022,3,31),'DATA INPUT'!$F$3:$F$3000,"&lt;&gt;*Exclude*"))/(COUNTIFS('DATA INPUT'!$B$3:$B$3000,'Report Tables'!AX$1,'DATA INPUT'!$A$3:$A$3000,"&gt;="&amp;DATE(2022,3,1),'DATA INPUT'!$A$3:$A$3000,"&lt;"&amp;DATE(2022,3,31),'DATA INPUT'!$F$3:$F$3000,"&lt;&gt;*Exclude*")),#N/A))</f>
        <v>#N/A</v>
      </c>
      <c r="AZ65" s="117" t="e">
        <f>IF($L$2="Yes",IFERROR((SUMIFS('DATA INPUT'!$C$3:$C$3000,'DATA INPUT'!$B$3:$B$3000,'Report Tables'!AX$1,'DATA INPUT'!$A$3:$A$3000,"&gt;="&amp;DATE(2022,3,1),'DATA INPUT'!$A$3:$A$3000,"&lt;"&amp;DATE(2022,3,31)))/COUNTIFS('DATA INPUT'!$B$3:$B$3000,'Report Tables'!AX$1,'DATA INPUT'!$A$3:$A$3000,"&gt;="&amp;DATE(2022,3,1),'DATA INPUT'!$A$3:$A$3000,"&lt;"&amp;DATE(2022,3,31)),#N/A),IFERROR((SUMIFS('DATA INPUT'!$C$3:$C$3000,'DATA INPUT'!$B$3:$B$3000,'Report Tables'!AX$1,'DATA INPUT'!$A$3:$A$3000,"&gt;="&amp;DATE(2022,3,1),'DATA INPUT'!$A$3:$A$3000,"&lt;"&amp;DATE(2022,3,31),'DATA INPUT'!$F$3:$F$3000,"&lt;&gt;*Exclude*"))/(COUNTIFS('DATA INPUT'!$B$3:$B$3000,'Report Tables'!AX$1,'DATA INPUT'!$A$3:$A$3000,"&gt;="&amp;DATE(2022,3,1),'DATA INPUT'!$A$3:$A$3000,"&lt;"&amp;DATE(2022,3,31),'DATA INPUT'!$F$3:$F$3000,"&lt;&gt;*Exclude*")),#N/A))</f>
        <v>#N/A</v>
      </c>
    </row>
    <row r="66" spans="25:52" x14ac:dyDescent="0.3">
      <c r="Y66" s="149"/>
      <c r="Z66" s="149" t="s">
        <v>15</v>
      </c>
      <c r="AA66" s="136" t="e">
        <f>IF($L$2="Yes",IF(SUMIFS('DATA INPUT'!$E$3:$E$3000,'DATA INPUT'!$B$3:$B$3000,'Report Tables'!AA$1,'DATA INPUT'!$A$3:$A$3000,"&gt;="&amp;DATE(2022,4,1),'DATA INPUT'!$A$3:$A$3000,"&lt;"&amp;DATE(2022,4,31))=0,#N/A,(SUMIFS('DATA INPUT'!$E$3:$E$3000,'DATA INPUT'!$B$3:$B$3000,'Report Tables'!AA$1,'DATA INPUT'!$A$3:$A$3000,"&gt;="&amp;DATE(2022,4,1),'DATA INPUT'!$A$3:$A$3000,"&lt;"&amp;DATE(2022,4,31)))),IF(SUMIFS('DATA INPUT'!$E$3:$E$3000,'DATA INPUT'!$B$3:$B$3000,'Report Tables'!AA$1,'DATA INPUT'!$A$3:$A$3000,"&gt;="&amp;DATE(2022,4,1),'DATA INPUT'!$A$3:$A$3000,"&lt;"&amp;DATE(2022,4,31),'DATA INPUT'!$F$3:$F$3000,"&lt;&gt;*Exclude*")=0,#N/A,(SUMIFS('DATA INPUT'!$E$3:$E$3000,'DATA INPUT'!$B$3:$B$3000,'Report Tables'!AA$1,'DATA INPUT'!$A$3:$A$3000,"&gt;="&amp;DATE(2022,4,1),'DATA INPUT'!$A$3:$A$3000,"&lt;"&amp;DATE(2022,4,31),'DATA INPUT'!$F$3:$F$3000,"&lt;&gt;*Exclude*"))))</f>
        <v>#N/A</v>
      </c>
      <c r="AB66" s="136" t="e">
        <f>IF($L$2="Yes",IF(SUMIFS('DATA INPUT'!$E$3:$E$3000,'DATA INPUT'!$B$3:$B$3000,'Report Tables'!AB$1,'DATA INPUT'!$A$3:$A$3000,"&gt;="&amp;DATE(2022,4,1),'DATA INPUT'!$A$3:$A$3000,"&lt;"&amp;DATE(2022,4,31))=0,#N/A,(SUMIFS('DATA INPUT'!$E$3:$E$3000,'DATA INPUT'!$B$3:$B$3000,'Report Tables'!AB$1,'DATA INPUT'!$A$3:$A$3000,"&gt;="&amp;DATE(2022,4,1),'DATA INPUT'!$A$3:$A$3000,"&lt;"&amp;DATE(2022,4,31)))),IF(SUMIFS('DATA INPUT'!$E$3:$E$3000,'DATA INPUT'!$B$3:$B$3000,'Report Tables'!AB$1,'DATA INPUT'!$A$3:$A$3000,"&gt;="&amp;DATE(2022,4,1),'DATA INPUT'!$A$3:$A$3000,"&lt;"&amp;DATE(2022,4,31),'DATA INPUT'!$F$3:$F$3000,"&lt;&gt;*Exclude*")=0,#N/A,(SUMIFS('DATA INPUT'!$E$3:$E$3000,'DATA INPUT'!$B$3:$B$3000,'Report Tables'!AB$1,'DATA INPUT'!$A$3:$A$3000,"&gt;="&amp;DATE(2022,4,1),'DATA INPUT'!$A$3:$A$3000,"&lt;"&amp;DATE(2022,4,31),'DATA INPUT'!$F$3:$F$3000,"&lt;&gt;*Exclude*"))))</f>
        <v>#N/A</v>
      </c>
      <c r="AC66" s="136" t="e">
        <f>IF($L$2="Yes",IF(SUMIFS('DATA INPUT'!$E$3:$E$3000,'DATA INPUT'!$B$3:$B$3000,'Report Tables'!AC$1,'DATA INPUT'!$A$3:$A$3000,"&gt;="&amp;DATE(2022,4,1),'DATA INPUT'!$A$3:$A$3000,"&lt;"&amp;DATE(2022,4,31))=0,#N/A,(SUMIFS('DATA INPUT'!$E$3:$E$3000,'DATA INPUT'!$B$3:$B$3000,'Report Tables'!AC$1,'DATA INPUT'!$A$3:$A$3000,"&gt;="&amp;DATE(2022,4,1),'DATA INPUT'!$A$3:$A$3000,"&lt;"&amp;DATE(2022,4,31)))),IF(SUMIFS('DATA INPUT'!$E$3:$E$3000,'DATA INPUT'!$B$3:$B$3000,'Report Tables'!AC$1,'DATA INPUT'!$A$3:$A$3000,"&gt;="&amp;DATE(2022,4,1),'DATA INPUT'!$A$3:$A$3000,"&lt;"&amp;DATE(2022,4,31),'DATA INPUT'!$F$3:$F$3000,"&lt;&gt;*Exclude*")=0,#N/A,(SUMIFS('DATA INPUT'!$E$3:$E$3000,'DATA INPUT'!$B$3:$B$3000,'Report Tables'!AC$1,'DATA INPUT'!$A$3:$A$3000,"&gt;="&amp;DATE(2022,4,1),'DATA INPUT'!$A$3:$A$3000,"&lt;"&amp;DATE(2022,4,31),'DATA INPUT'!$F$3:$F$3000,"&lt;&gt;*Exclude*"))))</f>
        <v>#N/A</v>
      </c>
      <c r="AD66" s="136" t="e">
        <f>IF($L$2="Yes",IF(SUMIFS('DATA INPUT'!$E$3:$E$3000,'DATA INPUT'!$B$3:$B$3000,'Report Tables'!AD$1,'DATA INPUT'!$A$3:$A$3000,"&gt;="&amp;DATE(2022,4,1),'DATA INPUT'!$A$3:$A$3000,"&lt;"&amp;DATE(2022,4,31))=0,#N/A,(SUMIFS('DATA INPUT'!$E$3:$E$3000,'DATA INPUT'!$B$3:$B$3000,'Report Tables'!AD$1,'DATA INPUT'!$A$3:$A$3000,"&gt;="&amp;DATE(2022,4,1),'DATA INPUT'!$A$3:$A$3000,"&lt;"&amp;DATE(2022,4,31)))),IF(SUMIFS('DATA INPUT'!$E$3:$E$3000,'DATA INPUT'!$B$3:$B$3000,'Report Tables'!AD$1,'DATA INPUT'!$A$3:$A$3000,"&gt;="&amp;DATE(2022,4,1),'DATA INPUT'!$A$3:$A$3000,"&lt;"&amp;DATE(2022,4,31),'DATA INPUT'!$F$3:$F$3000,"&lt;&gt;*Exclude*")=0,#N/A,(SUMIFS('DATA INPUT'!$E$3:$E$3000,'DATA INPUT'!$B$3:$B$3000,'Report Tables'!AD$1,'DATA INPUT'!$A$3:$A$3000,"&gt;="&amp;DATE(2022,4,1),'DATA INPUT'!$A$3:$A$3000,"&lt;"&amp;DATE(2022,4,31),'DATA INPUT'!$F$3:$F$3000,"&lt;&gt;*Exclude*"))))</f>
        <v>#N/A</v>
      </c>
      <c r="AE66" s="136" t="e">
        <f>IF($L$2="Yes",IF(SUMIFS('DATA INPUT'!$E$3:$E$3000,'DATA INPUT'!$B$3:$B$3000,'Report Tables'!AE$1,'DATA INPUT'!$A$3:$A$3000,"&gt;="&amp;DATE(2022,4,1),'DATA INPUT'!$A$3:$A$3000,"&lt;"&amp;DATE(2022,4,31))=0,#N/A,(SUMIFS('DATA INPUT'!$E$3:$E$3000,'DATA INPUT'!$B$3:$B$3000,'Report Tables'!AE$1,'DATA INPUT'!$A$3:$A$3000,"&gt;="&amp;DATE(2022,4,1),'DATA INPUT'!$A$3:$A$3000,"&lt;"&amp;DATE(2022,4,31)))),IF(SUMIFS('DATA INPUT'!$E$3:$E$3000,'DATA INPUT'!$B$3:$B$3000,'Report Tables'!AE$1,'DATA INPUT'!$A$3:$A$3000,"&gt;="&amp;DATE(2022,4,1),'DATA INPUT'!$A$3:$A$3000,"&lt;"&amp;DATE(2022,4,31),'DATA INPUT'!$F$3:$F$3000,"&lt;&gt;*Exclude*")=0,#N/A,(SUMIFS('DATA INPUT'!$E$3:$E$3000,'DATA INPUT'!$B$3:$B$3000,'Report Tables'!AE$1,'DATA INPUT'!$A$3:$A$3000,"&gt;="&amp;DATE(2022,4,1),'DATA INPUT'!$A$3:$A$3000,"&lt;"&amp;DATE(2022,4,31),'DATA INPUT'!$F$3:$F$3000,"&lt;&gt;*Exclude*"))))</f>
        <v>#N/A</v>
      </c>
      <c r="AF66" s="136" t="e">
        <f>IF($L$2="Yes",IF(SUMIFS('DATA INPUT'!$E$3:$E$3000,'DATA INPUT'!$B$3:$B$3000,'Report Tables'!AF$1,'DATA INPUT'!$A$3:$A$3000,"&gt;="&amp;DATE(2022,4,1),'DATA INPUT'!$A$3:$A$3000,"&lt;"&amp;DATE(2022,4,31))=0,#N/A,(SUMIFS('DATA INPUT'!$E$3:$E$3000,'DATA INPUT'!$B$3:$B$3000,'Report Tables'!AF$1,'DATA INPUT'!$A$3:$A$3000,"&gt;="&amp;DATE(2022,4,1),'DATA INPUT'!$A$3:$A$3000,"&lt;"&amp;DATE(2022,4,31)))),IF(SUMIFS('DATA INPUT'!$E$3:$E$3000,'DATA INPUT'!$B$3:$B$3000,'Report Tables'!AF$1,'DATA INPUT'!$A$3:$A$3000,"&gt;="&amp;DATE(2022,4,1),'DATA INPUT'!$A$3:$A$3000,"&lt;"&amp;DATE(2022,4,31),'DATA INPUT'!$F$3:$F$3000,"&lt;&gt;*Exclude*")=0,#N/A,(SUMIFS('DATA INPUT'!$E$3:$E$3000,'DATA INPUT'!$B$3:$B$3000,'Report Tables'!AF$1,'DATA INPUT'!$A$3:$A$3000,"&gt;="&amp;DATE(2022,4,1),'DATA INPUT'!$A$3:$A$3000,"&lt;"&amp;DATE(2022,4,31),'DATA INPUT'!$F$3:$F$3000,"&lt;&gt;*Exclude*"))))</f>
        <v>#N/A</v>
      </c>
      <c r="AG66" s="136" t="e">
        <f>IF($L$2="Yes",IF(SUMIFS('DATA INPUT'!$E$3:$E$3000,'DATA INPUT'!$B$3:$B$3000,'Report Tables'!AG$1,'DATA INPUT'!$A$3:$A$3000,"&gt;="&amp;DATE(2022,4,1),'DATA INPUT'!$A$3:$A$3000,"&lt;"&amp;DATE(2022,4,31))=0,#N/A,(SUMIFS('DATA INPUT'!$E$3:$E$3000,'DATA INPUT'!$B$3:$B$3000,'Report Tables'!AG$1,'DATA INPUT'!$A$3:$A$3000,"&gt;="&amp;DATE(2022,4,1),'DATA INPUT'!$A$3:$A$3000,"&lt;"&amp;DATE(2022,4,31)))),IF(SUMIFS('DATA INPUT'!$E$3:$E$3000,'DATA INPUT'!$B$3:$B$3000,'Report Tables'!AG$1,'DATA INPUT'!$A$3:$A$3000,"&gt;="&amp;DATE(2022,4,1),'DATA INPUT'!$A$3:$A$3000,"&lt;"&amp;DATE(2022,4,31),'DATA INPUT'!$F$3:$F$3000,"&lt;&gt;*Exclude*")=0,#N/A,(SUMIFS('DATA INPUT'!$E$3:$E$3000,'DATA INPUT'!$B$3:$B$3000,'Report Tables'!AG$1,'DATA INPUT'!$A$3:$A$3000,"&gt;="&amp;DATE(2022,4,1),'DATA INPUT'!$A$3:$A$3000,"&lt;"&amp;DATE(2022,4,31),'DATA INPUT'!$F$3:$F$3000,"&lt;&gt;*Exclude*"))))</f>
        <v>#N/A</v>
      </c>
      <c r="AH66" s="136" t="e">
        <f>IF($L$2="Yes",IF(SUMIFS('DATA INPUT'!$E$3:$E$3000,'DATA INPUT'!$B$3:$B$3000,'Report Tables'!AH$1,'DATA INPUT'!$A$3:$A$3000,"&gt;="&amp;DATE(2022,4,1),'DATA INPUT'!$A$3:$A$3000,"&lt;"&amp;DATE(2022,4,31))=0,#N/A,(SUMIFS('DATA INPUT'!$E$3:$E$3000,'DATA INPUT'!$B$3:$B$3000,'Report Tables'!AH$1,'DATA INPUT'!$A$3:$A$3000,"&gt;="&amp;DATE(2022,4,1),'DATA INPUT'!$A$3:$A$3000,"&lt;"&amp;DATE(2022,4,31)))),IF(SUMIFS('DATA INPUT'!$E$3:$E$3000,'DATA INPUT'!$B$3:$B$3000,'Report Tables'!AH$1,'DATA INPUT'!$A$3:$A$3000,"&gt;="&amp;DATE(2022,4,1),'DATA INPUT'!$A$3:$A$3000,"&lt;"&amp;DATE(2022,4,31),'DATA INPUT'!$F$3:$F$3000,"&lt;&gt;*Exclude*")=0,#N/A,(SUMIFS('DATA INPUT'!$E$3:$E$3000,'DATA INPUT'!$B$3:$B$3000,'Report Tables'!AH$1,'DATA INPUT'!$A$3:$A$3000,"&gt;="&amp;DATE(2022,4,1),'DATA INPUT'!$A$3:$A$3000,"&lt;"&amp;DATE(2022,4,31),'DATA INPUT'!$F$3:$F$3000,"&lt;&gt;*Exclude*"))))</f>
        <v>#N/A</v>
      </c>
      <c r="AI66" s="136" t="e">
        <f t="shared" si="0"/>
        <v>#N/A</v>
      </c>
      <c r="AJ66" s="136" t="e">
        <f>IF($L$2="Yes",IF(SUMIFS('DATA INPUT'!$D$3:$D$3000,'DATA INPUT'!$A$3:$A$3000,"&gt;="&amp;DATE(2022,4,1),'DATA INPUT'!$A$3:$A$3000,"&lt;"&amp;DATE(2022,4,31),'DATA INPUT'!$G$3:$G$3000,"&lt;&gt;*School service*")=0,#N/A,(SUMIFS('DATA INPUT'!$D$3:$D$3000,'DATA INPUT'!$A$3:$A$3000,"&gt;="&amp;DATE(2022,4,1),'DATA INPUT'!$A$3:$A$3000,"&lt;"&amp;DATE(2022,4,31),'DATA INPUT'!$G$3:$G$3000,"&lt;&gt;*School service*"))),IF(SUMIFS('DATA INPUT'!$D$3:$D$3000,'DATA INPUT'!$A$3:$A$3000,"&gt;="&amp;DATE(2022,4,1),'DATA INPUT'!$A$3:$A$3000,"&lt;"&amp;DATE(2022,4,31),'DATA INPUT'!$F$3:$F$3000,"&lt;&gt;*Exclude*",'DATA INPUT'!$G$3:$G$3000,"&lt;&gt;*School service*")=0,#N/A,(SUMIFS('DATA INPUT'!$D$3:$D$3000,'DATA INPUT'!$A$3:$A$3000,"&gt;="&amp;DATE(2022,4,1),'DATA INPUT'!$A$3:$A$3000,"&lt;"&amp;DATE(2022,4,31),'DATA INPUT'!$F$3:$F$3000,"&lt;&gt;*Exclude*",'DATA INPUT'!$G$3:$G$3000,"&lt;&gt;*School service*"))))</f>
        <v>#N/A</v>
      </c>
      <c r="AK66" s="136" t="e">
        <f>AI66-AJ66</f>
        <v>#N/A</v>
      </c>
      <c r="AM66" s="117" t="e">
        <f>IF($L$2="Yes",IFERROR((SUMIFS('DATA INPUT'!$E$3:$E$3000,'DATA INPUT'!$B$3:$B$3000,'Report Tables'!AM$1,'DATA INPUT'!$A$3:$A$3000,"&gt;="&amp;DATE(2022,4,1),'DATA INPUT'!$A$3:$A$3000,"&lt;"&amp;DATE(2022,4,31)))/COUNTIFS('DATA INPUT'!$B$3:$B$3000,'Report Tables'!AM$1,'DATA INPUT'!$A$3:$A$3000,"&gt;="&amp;DATE(2022,4,1),'DATA INPUT'!$A$3:$A$3000,"&lt;"&amp;DATE(2022,4,31)),#N/A),IFERROR((SUMIFS('DATA INPUT'!$E$3:$E$3000,'DATA INPUT'!$B$3:$B$3000,'Report Tables'!AM$1,'DATA INPUT'!$A$3:$A$3000,"&gt;="&amp;DATE(2022,4,1),'DATA INPUT'!$A$3:$A$3000,"&lt;"&amp;DATE(2022,4,31),'DATA INPUT'!$F$3:$F$3000,"&lt;&gt;*Exclude*"))/(COUNTIFS('DATA INPUT'!$B$3:$B$3000,'Report Tables'!AM$1,'DATA INPUT'!$A$3:$A$3000,"&gt;="&amp;DATE(2022,4,1),'DATA INPUT'!$A$3:$A$3000,"&lt;"&amp;DATE(2022,4,31),'DATA INPUT'!$F$3:$F$3000,"&lt;&gt;*Exclude*")),#N/A))</f>
        <v>#N/A</v>
      </c>
      <c r="AN66" s="117" t="e">
        <f>IF($L$2="Yes",IFERROR((SUMIFS('DATA INPUT'!$E$3:$E$3000,'DATA INPUT'!$B$3:$B$3000,'Report Tables'!AN$1,'DATA INPUT'!$A$3:$A$3000,"&gt;="&amp;DATE(2022,4,1),'DATA INPUT'!$A$3:$A$3000,"&lt;"&amp;DATE(2022,4,31)))/COUNTIFS('DATA INPUT'!$B$3:$B$3000,'Report Tables'!AN$1,'DATA INPUT'!$A$3:$A$3000,"&gt;="&amp;DATE(2022,4,1),'DATA INPUT'!$A$3:$A$3000,"&lt;"&amp;DATE(2022,4,31)),#N/A),IFERROR((SUMIFS('DATA INPUT'!$E$3:$E$3000,'DATA INPUT'!$B$3:$B$3000,'Report Tables'!AN$1,'DATA INPUT'!$A$3:$A$3000,"&gt;="&amp;DATE(2022,4,1),'DATA INPUT'!$A$3:$A$3000,"&lt;"&amp;DATE(2022,4,31),'DATA INPUT'!$F$3:$F$3000,"&lt;&gt;*Exclude*"))/(COUNTIFS('DATA INPUT'!$B$3:$B$3000,'Report Tables'!AN$1,'DATA INPUT'!$A$3:$A$3000,"&gt;="&amp;DATE(2022,4,1),'DATA INPUT'!$A$3:$A$3000,"&lt;"&amp;DATE(2022,4,31),'DATA INPUT'!$F$3:$F$3000,"&lt;&gt;*Exclude*")),#N/A))</f>
        <v>#N/A</v>
      </c>
      <c r="AO66" s="117" t="e">
        <f>IF($L$2="Yes",IFERROR((SUMIFS('DATA INPUT'!$E$3:$E$3000,'DATA INPUT'!$B$3:$B$3000,'Report Tables'!AO$1,'DATA INPUT'!$A$3:$A$3000,"&gt;="&amp;DATE(2022,4,1),'DATA INPUT'!$A$3:$A$3000,"&lt;"&amp;DATE(2022,4,31)))/COUNTIFS('DATA INPUT'!$B$3:$B$3000,'Report Tables'!AO$1,'DATA INPUT'!$A$3:$A$3000,"&gt;="&amp;DATE(2022,4,1),'DATA INPUT'!$A$3:$A$3000,"&lt;"&amp;DATE(2022,4,31)),#N/A),IFERROR((SUMIFS('DATA INPUT'!$E$3:$E$3000,'DATA INPUT'!$B$3:$B$3000,'Report Tables'!AO$1,'DATA INPUT'!$A$3:$A$3000,"&gt;="&amp;DATE(2022,4,1),'DATA INPUT'!$A$3:$A$3000,"&lt;"&amp;DATE(2022,4,31),'DATA INPUT'!$F$3:$F$3000,"&lt;&gt;*Exclude*"))/(COUNTIFS('DATA INPUT'!$B$3:$B$3000,'Report Tables'!AO$1,'DATA INPUT'!$A$3:$A$3000,"&gt;="&amp;DATE(2022,4,1),'DATA INPUT'!$A$3:$A$3000,"&lt;"&amp;DATE(2022,4,31),'DATA INPUT'!$F$3:$F$3000,"&lt;&gt;*Exclude*")),#N/A))</f>
        <v>#N/A</v>
      </c>
      <c r="AP66" s="117" t="e">
        <f>IF($L$2="Yes",IFERROR((SUMIFS('DATA INPUT'!$E$3:$E$3000,'DATA INPUT'!$B$3:$B$3000,'Report Tables'!AP$1,'DATA INPUT'!$A$3:$A$3000,"&gt;="&amp;DATE(2022,4,1),'DATA INPUT'!$A$3:$A$3000,"&lt;"&amp;DATE(2022,4,31)))/COUNTIFS('DATA INPUT'!$B$3:$B$3000,'Report Tables'!AP$1,'DATA INPUT'!$A$3:$A$3000,"&gt;="&amp;DATE(2022,4,1),'DATA INPUT'!$A$3:$A$3000,"&lt;"&amp;DATE(2022,4,31)),#N/A),IFERROR((SUMIFS('DATA INPUT'!$E$3:$E$3000,'DATA INPUT'!$B$3:$B$3000,'Report Tables'!AP$1,'DATA INPUT'!$A$3:$A$3000,"&gt;="&amp;DATE(2022,4,1),'DATA INPUT'!$A$3:$A$3000,"&lt;"&amp;DATE(2022,4,31),'DATA INPUT'!$F$3:$F$3000,"&lt;&gt;*Exclude*"))/(COUNTIFS('DATA INPUT'!$B$3:$B$3000,'Report Tables'!AP$1,'DATA INPUT'!$A$3:$A$3000,"&gt;="&amp;DATE(2022,4,1),'DATA INPUT'!$A$3:$A$3000,"&lt;"&amp;DATE(2022,4,31),'DATA INPUT'!$F$3:$F$3000,"&lt;&gt;*Exclude*")),#N/A))</f>
        <v>#N/A</v>
      </c>
      <c r="AQ66" s="117" t="e">
        <f>IF($L$2="Yes",IFERROR((SUMIFS('DATA INPUT'!$E$3:$E$3000,'DATA INPUT'!$B$3:$B$3000,'Report Tables'!AQ$1,'DATA INPUT'!$A$3:$A$3000,"&gt;="&amp;DATE(2022,4,1),'DATA INPUT'!$A$3:$A$3000,"&lt;"&amp;DATE(2022,4,31)))/COUNTIFS('DATA INPUT'!$B$3:$B$3000,'Report Tables'!AQ$1,'DATA INPUT'!$A$3:$A$3000,"&gt;="&amp;DATE(2022,4,1),'DATA INPUT'!$A$3:$A$3000,"&lt;"&amp;DATE(2022,4,31)),#N/A),IFERROR((SUMIFS('DATA INPUT'!$E$3:$E$3000,'DATA INPUT'!$B$3:$B$3000,'Report Tables'!AQ$1,'DATA INPUT'!$A$3:$A$3000,"&gt;="&amp;DATE(2022,4,1),'DATA INPUT'!$A$3:$A$3000,"&lt;"&amp;DATE(2022,4,31),'DATA INPUT'!$F$3:$F$3000,"&lt;&gt;*Exclude*"))/(COUNTIFS('DATA INPUT'!$B$3:$B$3000,'Report Tables'!AQ$1,'DATA INPUT'!$A$3:$A$3000,"&gt;="&amp;DATE(2022,4,1),'DATA INPUT'!$A$3:$A$3000,"&lt;"&amp;DATE(2022,4,31),'DATA INPUT'!$F$3:$F$3000,"&lt;&gt;*Exclude*")),#N/A))</f>
        <v>#N/A</v>
      </c>
      <c r="AR66" s="117" t="e">
        <f>IF($L$2="Yes",IFERROR((SUMIFS('DATA INPUT'!$E$3:$E$3000,'DATA INPUT'!$B$3:$B$3000,'Report Tables'!AR$1,'DATA INPUT'!$A$3:$A$3000,"&gt;="&amp;DATE(2022,4,1),'DATA INPUT'!$A$3:$A$3000,"&lt;"&amp;DATE(2022,4,31)))/COUNTIFS('DATA INPUT'!$B$3:$B$3000,'Report Tables'!AR$1,'DATA INPUT'!$A$3:$A$3000,"&gt;="&amp;DATE(2022,4,1),'DATA INPUT'!$A$3:$A$3000,"&lt;"&amp;DATE(2022,4,31)),#N/A),IFERROR((SUMIFS('DATA INPUT'!$E$3:$E$3000,'DATA INPUT'!$B$3:$B$3000,'Report Tables'!AR$1,'DATA INPUT'!$A$3:$A$3000,"&gt;="&amp;DATE(2022,4,1),'DATA INPUT'!$A$3:$A$3000,"&lt;"&amp;DATE(2022,4,31),'DATA INPUT'!$F$3:$F$3000,"&lt;&gt;*Exclude*"))/(COUNTIFS('DATA INPUT'!$B$3:$B$3000,'Report Tables'!AR$1,'DATA INPUT'!$A$3:$A$3000,"&gt;="&amp;DATE(2022,4,1),'DATA INPUT'!$A$3:$A$3000,"&lt;"&amp;DATE(2022,4,31),'DATA INPUT'!$F$3:$F$3000,"&lt;&gt;*Exclude*")),#N/A))</f>
        <v>#N/A</v>
      </c>
      <c r="AS66" s="117" t="e">
        <f>IF($L$2="Yes",IFERROR((SUMIFS('DATA INPUT'!$E$3:$E$3000,'DATA INPUT'!$B$3:$B$3000,'Report Tables'!AS$1,'DATA INPUT'!$A$3:$A$3000,"&gt;="&amp;DATE(2022,4,1),'DATA INPUT'!$A$3:$A$3000,"&lt;"&amp;DATE(2022,4,31)))/COUNTIFS('DATA INPUT'!$B$3:$B$3000,'Report Tables'!AS$1,'DATA INPUT'!$A$3:$A$3000,"&gt;="&amp;DATE(2022,4,1),'DATA INPUT'!$A$3:$A$3000,"&lt;"&amp;DATE(2022,4,31)),#N/A),IFERROR((SUMIFS('DATA INPUT'!$E$3:$E$3000,'DATA INPUT'!$B$3:$B$3000,'Report Tables'!AS$1,'DATA INPUT'!$A$3:$A$3000,"&gt;="&amp;DATE(2022,4,1),'DATA INPUT'!$A$3:$A$3000,"&lt;"&amp;DATE(2022,4,31),'DATA INPUT'!$F$3:$F$3000,"&lt;&gt;*Exclude*"))/(COUNTIFS('DATA INPUT'!$B$3:$B$3000,'Report Tables'!AS$1,'DATA INPUT'!$A$3:$A$3000,"&gt;="&amp;DATE(2022,4,1),'DATA INPUT'!$A$3:$A$3000,"&lt;"&amp;DATE(2022,4,31),'DATA INPUT'!$F$3:$F$3000,"&lt;&gt;*Exclude*")),#N/A))</f>
        <v>#N/A</v>
      </c>
      <c r="AT66" s="117" t="e">
        <f>IF($L$2="Yes",IFERROR((SUMIFS('DATA INPUT'!$E$3:$E$3000,'DATA INPUT'!$B$3:$B$3000,'Report Tables'!AT$1,'DATA INPUT'!$A$3:$A$3000,"&gt;="&amp;DATE(2022,4,1),'DATA INPUT'!$A$3:$A$3000,"&lt;"&amp;DATE(2022,4,31)))/COUNTIFS('DATA INPUT'!$B$3:$B$3000,'Report Tables'!AT$1,'DATA INPUT'!$A$3:$A$3000,"&gt;="&amp;DATE(2022,4,1),'DATA INPUT'!$A$3:$A$3000,"&lt;"&amp;DATE(2022,4,31)),#N/A),IFERROR((SUMIFS('DATA INPUT'!$E$3:$E$3000,'DATA INPUT'!$B$3:$B$3000,'Report Tables'!AT$1,'DATA INPUT'!$A$3:$A$3000,"&gt;="&amp;DATE(2022,4,1),'DATA INPUT'!$A$3:$A$3000,"&lt;"&amp;DATE(2022,4,31),'DATA INPUT'!$F$3:$F$3000,"&lt;&gt;*Exclude*"))/(COUNTIFS('DATA INPUT'!$B$3:$B$3000,'Report Tables'!AT$1,'DATA INPUT'!$A$3:$A$3000,"&gt;="&amp;DATE(2022,4,1),'DATA INPUT'!$A$3:$A$3000,"&lt;"&amp;DATE(2022,4,31),'DATA INPUT'!$F$3:$F$3000,"&lt;&gt;*Exclude*")),#N/A))</f>
        <v>#N/A</v>
      </c>
      <c r="AU66" s="117" t="e">
        <f t="shared" si="1"/>
        <v>#N/A</v>
      </c>
      <c r="AV66" s="117" t="e">
        <f>IF($L$2="Yes",IFERROR((SUMIFS('DATA INPUT'!$D$3:$D$3000,'DATA INPUT'!$A$3:$A$3000,"&gt;="&amp;DATE(2022,4,1),'DATA INPUT'!$A$3:$A$3000,"&lt;"&amp;DATE(2022,4,31),'DATA INPUT'!$G$3:$G$3000,"&lt;&gt;*School service*"))/COUNTIFS('DATA INPUT'!$A$3:$A$3000,"&gt;="&amp;DATE(2022,4,1),'DATA INPUT'!$A$3:$A$3000,"&lt;"&amp;DATE(2022,4,31),'DATA INPUT'!$G$3:$G$3000,"&lt;&gt;*School service*",'DATA INPUT'!$D$3:$D$3000,"&lt;&gt;"&amp;""),#N/A),IFERROR((SUMIFS('DATA INPUT'!$D$3:$D$3000,'DATA INPUT'!$A$3:$A$3000,"&gt;="&amp;DATE(2022,4,1),'DATA INPUT'!$A$3:$A$3000,"&lt;"&amp;DATE(2022,4,31),'DATA INPUT'!$F$3:$F$3000,"&lt;&gt;*Exclude*",'DATA INPUT'!$G$3:$G$3000,"&lt;&gt;*School service*"))/(COUNTIFS('DATA INPUT'!$A$3:$A$3000,"&gt;="&amp;DATE(2022,4,1),'DATA INPUT'!$A$3:$A$3000,"&lt;"&amp;DATE(2022,4,31),'DATA INPUT'!$F$3:$F$3000,"&lt;&gt;*Exclude*",'DATA INPUT'!$G$3:$G$3000,"&lt;&gt;*School service*",'DATA INPUT'!$D$3:$D$3000,"&lt;&gt;"&amp;"")),#N/A))</f>
        <v>#N/A</v>
      </c>
      <c r="AW66" s="117" t="e">
        <f t="shared" si="2"/>
        <v>#N/A</v>
      </c>
      <c r="AX66" s="117" t="e">
        <f>IF($L$2="Yes",IFERROR((SUMIFS('DATA INPUT'!$E$3:$E$3000,'DATA INPUT'!$B$3:$B$3000,'Report Tables'!AX$1,'DATA INPUT'!$A$3:$A$3000,"&gt;="&amp;DATE(2022,4,1),'DATA INPUT'!$A$3:$A$3000,"&lt;"&amp;DATE(2022,4,31)))/COUNTIFS('DATA INPUT'!$B$3:$B$3000,'Report Tables'!AX$1,'DATA INPUT'!$A$3:$A$3000,"&gt;="&amp;DATE(2022,4,1),'DATA INPUT'!$A$3:$A$3000,"&lt;"&amp;DATE(2022,4,31)),#N/A),IFERROR((SUMIFS('DATA INPUT'!$E$3:$E$3000,'DATA INPUT'!$B$3:$B$3000,'Report Tables'!AX$1,'DATA INPUT'!$A$3:$A$3000,"&gt;="&amp;DATE(2022,4,1),'DATA INPUT'!$A$3:$A$3000,"&lt;"&amp;DATE(2022,4,31),'DATA INPUT'!$F$3:$F$3000,"&lt;&gt;*Exclude*"))/(COUNTIFS('DATA INPUT'!$B$3:$B$3000,'Report Tables'!AX$1,'DATA INPUT'!$A$3:$A$3000,"&gt;="&amp;DATE(2022,4,1),'DATA INPUT'!$A$3:$A$3000,"&lt;"&amp;DATE(2022,4,31),'DATA INPUT'!$F$3:$F$3000,"&lt;&gt;*Exclude*")),#N/A))</f>
        <v>#N/A</v>
      </c>
      <c r="AY66" s="117" t="e">
        <f>IF($L$2="Yes",IFERROR((SUMIFS('DATA INPUT'!$D$3:$D$3000,'DATA INPUT'!$B$3:$B$3000,'Report Tables'!AX$1,'DATA INPUT'!$A$3:$A$3000,"&gt;="&amp;DATE(2022,4,1),'DATA INPUT'!$A$3:$A$3000,"&lt;"&amp;DATE(2022,4,31)))/COUNTIFS('DATA INPUT'!$B$3:$B$3000,'Report Tables'!AX$1,'DATA INPUT'!$A$3:$A$3000,"&gt;="&amp;DATE(2022,4,1),'DATA INPUT'!$A$3:$A$3000,"&lt;"&amp;DATE(2022,4,31)),#N/A),IFERROR((SUMIFS('DATA INPUT'!$D$3:$D$3000,'DATA INPUT'!$B$3:$B$3000,'Report Tables'!AX$1,'DATA INPUT'!$A$3:$A$3000,"&gt;="&amp;DATE(2022,4,1),'DATA INPUT'!$A$3:$A$3000,"&lt;"&amp;DATE(2022,4,31),'DATA INPUT'!$F$3:$F$3000,"&lt;&gt;*Exclude*"))/(COUNTIFS('DATA INPUT'!$B$3:$B$3000,'Report Tables'!AX$1,'DATA INPUT'!$A$3:$A$3000,"&gt;="&amp;DATE(2022,4,1),'DATA INPUT'!$A$3:$A$3000,"&lt;"&amp;DATE(2022,4,31),'DATA INPUT'!$F$3:$F$3000,"&lt;&gt;*Exclude*")),#N/A))</f>
        <v>#N/A</v>
      </c>
      <c r="AZ66" s="117" t="e">
        <f>IF($L$2="Yes",IFERROR((SUMIFS('DATA INPUT'!$C$3:$C$3000,'DATA INPUT'!$B$3:$B$3000,'Report Tables'!AX$1,'DATA INPUT'!$A$3:$A$3000,"&gt;="&amp;DATE(2022,4,1),'DATA INPUT'!$A$3:$A$3000,"&lt;"&amp;DATE(2022,4,31)))/COUNTIFS('DATA INPUT'!$B$3:$B$3000,'Report Tables'!AX$1,'DATA INPUT'!$A$3:$A$3000,"&gt;="&amp;DATE(2022,4,1),'DATA INPUT'!$A$3:$A$3000,"&lt;"&amp;DATE(2022,4,31)),#N/A),IFERROR((SUMIFS('DATA INPUT'!$C$3:$C$3000,'DATA INPUT'!$B$3:$B$3000,'Report Tables'!AX$1,'DATA INPUT'!$A$3:$A$3000,"&gt;="&amp;DATE(2022,4,1),'DATA INPUT'!$A$3:$A$3000,"&lt;"&amp;DATE(2022,4,31),'DATA INPUT'!$F$3:$F$3000,"&lt;&gt;*Exclude*"))/(COUNTIFS('DATA INPUT'!$B$3:$B$3000,'Report Tables'!AX$1,'DATA INPUT'!$A$3:$A$3000,"&gt;="&amp;DATE(2022,4,1),'DATA INPUT'!$A$3:$A$3000,"&lt;"&amp;DATE(2022,4,31),'DATA INPUT'!$F$3:$F$3000,"&lt;&gt;*Exclude*")),#N/A))</f>
        <v>#N/A</v>
      </c>
    </row>
    <row r="67" spans="25:52" x14ac:dyDescent="0.3">
      <c r="Y67" s="149"/>
      <c r="Z67" s="149" t="s">
        <v>16</v>
      </c>
      <c r="AA67" s="136" t="e">
        <f>IF($L$2="Yes",IF(SUMIFS('DATA INPUT'!$E$3:$E$3000,'DATA INPUT'!$B$3:$B$3000,'Report Tables'!AA$1,'DATA INPUT'!$A$3:$A$3000,"&gt;="&amp;DATE(2022,5,1),'DATA INPUT'!$A$3:$A$3000,"&lt;"&amp;DATE(2022,5,31))=0,#N/A,(SUMIFS('DATA INPUT'!$E$3:$E$3000,'DATA INPUT'!$B$3:$B$3000,'Report Tables'!AA$1,'DATA INPUT'!$A$3:$A$3000,"&gt;="&amp;DATE(2022,5,1),'DATA INPUT'!$A$3:$A$3000,"&lt;"&amp;DATE(2022,5,31)))),IF(SUMIFS('DATA INPUT'!$E$3:$E$3000,'DATA INPUT'!$B$3:$B$3000,'Report Tables'!AA$1,'DATA INPUT'!$A$3:$A$3000,"&gt;="&amp;DATE(2022,5,1),'DATA INPUT'!$A$3:$A$3000,"&lt;"&amp;DATE(2022,5,31),'DATA INPUT'!$F$3:$F$3000,"&lt;&gt;*Exclude*")=0,#N/A,(SUMIFS('DATA INPUT'!$E$3:$E$3000,'DATA INPUT'!$B$3:$B$3000,'Report Tables'!AA$1,'DATA INPUT'!$A$3:$A$3000,"&gt;="&amp;DATE(2022,5,1),'DATA INPUT'!$A$3:$A$3000,"&lt;"&amp;DATE(2022,5,31),'DATA INPUT'!$F$3:$F$3000,"&lt;&gt;*Exclude*"))))</f>
        <v>#N/A</v>
      </c>
      <c r="AB67" s="136" t="e">
        <f>IF($L$2="Yes",IF(SUMIFS('DATA INPUT'!$E$3:$E$3000,'DATA INPUT'!$B$3:$B$3000,'Report Tables'!AB$1,'DATA INPUT'!$A$3:$A$3000,"&gt;="&amp;DATE(2022,5,1),'DATA INPUT'!$A$3:$A$3000,"&lt;"&amp;DATE(2022,5,31))=0,#N/A,(SUMIFS('DATA INPUT'!$E$3:$E$3000,'DATA INPUT'!$B$3:$B$3000,'Report Tables'!AB$1,'DATA INPUT'!$A$3:$A$3000,"&gt;="&amp;DATE(2022,5,1),'DATA INPUT'!$A$3:$A$3000,"&lt;"&amp;DATE(2022,5,31)))),IF(SUMIFS('DATA INPUT'!$E$3:$E$3000,'DATA INPUT'!$B$3:$B$3000,'Report Tables'!AB$1,'DATA INPUT'!$A$3:$A$3000,"&gt;="&amp;DATE(2022,5,1),'DATA INPUT'!$A$3:$A$3000,"&lt;"&amp;DATE(2022,5,31),'DATA INPUT'!$F$3:$F$3000,"&lt;&gt;*Exclude*")=0,#N/A,(SUMIFS('DATA INPUT'!$E$3:$E$3000,'DATA INPUT'!$B$3:$B$3000,'Report Tables'!AB$1,'DATA INPUT'!$A$3:$A$3000,"&gt;="&amp;DATE(2022,5,1),'DATA INPUT'!$A$3:$A$3000,"&lt;"&amp;DATE(2022,5,31),'DATA INPUT'!$F$3:$F$3000,"&lt;&gt;*Exclude*"))))</f>
        <v>#N/A</v>
      </c>
      <c r="AC67" s="136" t="e">
        <f>IF($L$2="Yes",IF(SUMIFS('DATA INPUT'!$E$3:$E$3000,'DATA INPUT'!$B$3:$B$3000,'Report Tables'!AC$1,'DATA INPUT'!$A$3:$A$3000,"&gt;="&amp;DATE(2022,5,1),'DATA INPUT'!$A$3:$A$3000,"&lt;"&amp;DATE(2022,5,31))=0,#N/A,(SUMIFS('DATA INPUT'!$E$3:$E$3000,'DATA INPUT'!$B$3:$B$3000,'Report Tables'!AC$1,'DATA INPUT'!$A$3:$A$3000,"&gt;="&amp;DATE(2022,5,1),'DATA INPUT'!$A$3:$A$3000,"&lt;"&amp;DATE(2022,5,31)))),IF(SUMIFS('DATA INPUT'!$E$3:$E$3000,'DATA INPUT'!$B$3:$B$3000,'Report Tables'!AC$1,'DATA INPUT'!$A$3:$A$3000,"&gt;="&amp;DATE(2022,5,1),'DATA INPUT'!$A$3:$A$3000,"&lt;"&amp;DATE(2022,5,31),'DATA INPUT'!$F$3:$F$3000,"&lt;&gt;*Exclude*")=0,#N/A,(SUMIFS('DATA INPUT'!$E$3:$E$3000,'DATA INPUT'!$B$3:$B$3000,'Report Tables'!AC$1,'DATA INPUT'!$A$3:$A$3000,"&gt;="&amp;DATE(2022,5,1),'DATA INPUT'!$A$3:$A$3000,"&lt;"&amp;DATE(2022,5,31),'DATA INPUT'!$F$3:$F$3000,"&lt;&gt;*Exclude*"))))</f>
        <v>#N/A</v>
      </c>
      <c r="AD67" s="136" t="e">
        <f>IF($L$2="Yes",IF(SUMIFS('DATA INPUT'!$E$3:$E$3000,'DATA INPUT'!$B$3:$B$3000,'Report Tables'!AD$1,'DATA INPUT'!$A$3:$A$3000,"&gt;="&amp;DATE(2022,5,1),'DATA INPUT'!$A$3:$A$3000,"&lt;"&amp;DATE(2022,5,31))=0,#N/A,(SUMIFS('DATA INPUT'!$E$3:$E$3000,'DATA INPUT'!$B$3:$B$3000,'Report Tables'!AD$1,'DATA INPUT'!$A$3:$A$3000,"&gt;="&amp;DATE(2022,5,1),'DATA INPUT'!$A$3:$A$3000,"&lt;"&amp;DATE(2022,5,31)))),IF(SUMIFS('DATA INPUT'!$E$3:$E$3000,'DATA INPUT'!$B$3:$B$3000,'Report Tables'!AD$1,'DATA INPUT'!$A$3:$A$3000,"&gt;="&amp;DATE(2022,5,1),'DATA INPUT'!$A$3:$A$3000,"&lt;"&amp;DATE(2022,5,31),'DATA INPUT'!$F$3:$F$3000,"&lt;&gt;*Exclude*")=0,#N/A,(SUMIFS('DATA INPUT'!$E$3:$E$3000,'DATA INPUT'!$B$3:$B$3000,'Report Tables'!AD$1,'DATA INPUT'!$A$3:$A$3000,"&gt;="&amp;DATE(2022,5,1),'DATA INPUT'!$A$3:$A$3000,"&lt;"&amp;DATE(2022,5,31),'DATA INPUT'!$F$3:$F$3000,"&lt;&gt;*Exclude*"))))</f>
        <v>#N/A</v>
      </c>
      <c r="AE67" s="136" t="e">
        <f>IF($L$2="Yes",IF(SUMIFS('DATA INPUT'!$E$3:$E$3000,'DATA INPUT'!$B$3:$B$3000,'Report Tables'!AE$1,'DATA INPUT'!$A$3:$A$3000,"&gt;="&amp;DATE(2022,5,1),'DATA INPUT'!$A$3:$A$3000,"&lt;"&amp;DATE(2022,5,31))=0,#N/A,(SUMIFS('DATA INPUT'!$E$3:$E$3000,'DATA INPUT'!$B$3:$B$3000,'Report Tables'!AE$1,'DATA INPUT'!$A$3:$A$3000,"&gt;="&amp;DATE(2022,5,1),'DATA INPUT'!$A$3:$A$3000,"&lt;"&amp;DATE(2022,5,31)))),IF(SUMIFS('DATA INPUT'!$E$3:$E$3000,'DATA INPUT'!$B$3:$B$3000,'Report Tables'!AE$1,'DATA INPUT'!$A$3:$A$3000,"&gt;="&amp;DATE(2022,5,1),'DATA INPUT'!$A$3:$A$3000,"&lt;"&amp;DATE(2022,5,31),'DATA INPUT'!$F$3:$F$3000,"&lt;&gt;*Exclude*")=0,#N/A,(SUMIFS('DATA INPUT'!$E$3:$E$3000,'DATA INPUT'!$B$3:$B$3000,'Report Tables'!AE$1,'DATA INPUT'!$A$3:$A$3000,"&gt;="&amp;DATE(2022,5,1),'DATA INPUT'!$A$3:$A$3000,"&lt;"&amp;DATE(2022,5,31),'DATA INPUT'!$F$3:$F$3000,"&lt;&gt;*Exclude*"))))</f>
        <v>#N/A</v>
      </c>
      <c r="AF67" s="136" t="e">
        <f>IF($L$2="Yes",IF(SUMIFS('DATA INPUT'!$E$3:$E$3000,'DATA INPUT'!$B$3:$B$3000,'Report Tables'!AF$1,'DATA INPUT'!$A$3:$A$3000,"&gt;="&amp;DATE(2022,5,1),'DATA INPUT'!$A$3:$A$3000,"&lt;"&amp;DATE(2022,5,31))=0,#N/A,(SUMIFS('DATA INPUT'!$E$3:$E$3000,'DATA INPUT'!$B$3:$B$3000,'Report Tables'!AF$1,'DATA INPUT'!$A$3:$A$3000,"&gt;="&amp;DATE(2022,5,1),'DATA INPUT'!$A$3:$A$3000,"&lt;"&amp;DATE(2022,5,31)))),IF(SUMIFS('DATA INPUT'!$E$3:$E$3000,'DATA INPUT'!$B$3:$B$3000,'Report Tables'!AF$1,'DATA INPUT'!$A$3:$A$3000,"&gt;="&amp;DATE(2022,5,1),'DATA INPUT'!$A$3:$A$3000,"&lt;"&amp;DATE(2022,5,31),'DATA INPUT'!$F$3:$F$3000,"&lt;&gt;*Exclude*")=0,#N/A,(SUMIFS('DATA INPUT'!$E$3:$E$3000,'DATA INPUT'!$B$3:$B$3000,'Report Tables'!AF$1,'DATA INPUT'!$A$3:$A$3000,"&gt;="&amp;DATE(2022,5,1),'DATA INPUT'!$A$3:$A$3000,"&lt;"&amp;DATE(2022,5,31),'DATA INPUT'!$F$3:$F$3000,"&lt;&gt;*Exclude*"))))</f>
        <v>#N/A</v>
      </c>
      <c r="AG67" s="136" t="e">
        <f>IF($L$2="Yes",IF(SUMIFS('DATA INPUT'!$E$3:$E$3000,'DATA INPUT'!$B$3:$B$3000,'Report Tables'!AG$1,'DATA INPUT'!$A$3:$A$3000,"&gt;="&amp;DATE(2022,5,1),'DATA INPUT'!$A$3:$A$3000,"&lt;"&amp;DATE(2022,5,31))=0,#N/A,(SUMIFS('DATA INPUT'!$E$3:$E$3000,'DATA INPUT'!$B$3:$B$3000,'Report Tables'!AG$1,'DATA INPUT'!$A$3:$A$3000,"&gt;="&amp;DATE(2022,5,1),'DATA INPUT'!$A$3:$A$3000,"&lt;"&amp;DATE(2022,5,31)))),IF(SUMIFS('DATA INPUT'!$E$3:$E$3000,'DATA INPUT'!$B$3:$B$3000,'Report Tables'!AG$1,'DATA INPUT'!$A$3:$A$3000,"&gt;="&amp;DATE(2022,5,1),'DATA INPUT'!$A$3:$A$3000,"&lt;"&amp;DATE(2022,5,31),'DATA INPUT'!$F$3:$F$3000,"&lt;&gt;*Exclude*")=0,#N/A,(SUMIFS('DATA INPUT'!$E$3:$E$3000,'DATA INPUT'!$B$3:$B$3000,'Report Tables'!AG$1,'DATA INPUT'!$A$3:$A$3000,"&gt;="&amp;DATE(2022,5,1),'DATA INPUT'!$A$3:$A$3000,"&lt;"&amp;DATE(2022,5,31),'DATA INPUT'!$F$3:$F$3000,"&lt;&gt;*Exclude*"))))</f>
        <v>#N/A</v>
      </c>
      <c r="AH67" s="136" t="e">
        <f>IF($L$2="Yes",IF(SUMIFS('DATA INPUT'!$E$3:$E$3000,'DATA INPUT'!$B$3:$B$3000,'Report Tables'!AH$1,'DATA INPUT'!$A$3:$A$3000,"&gt;="&amp;DATE(2022,5,1),'DATA INPUT'!$A$3:$A$3000,"&lt;"&amp;DATE(2022,5,31))=0,#N/A,(SUMIFS('DATA INPUT'!$E$3:$E$3000,'DATA INPUT'!$B$3:$B$3000,'Report Tables'!AH$1,'DATA INPUT'!$A$3:$A$3000,"&gt;="&amp;DATE(2022,5,1),'DATA INPUT'!$A$3:$A$3000,"&lt;"&amp;DATE(2022,5,31)))),IF(SUMIFS('DATA INPUT'!$E$3:$E$3000,'DATA INPUT'!$B$3:$B$3000,'Report Tables'!AH$1,'DATA INPUT'!$A$3:$A$3000,"&gt;="&amp;DATE(2022,5,1),'DATA INPUT'!$A$3:$A$3000,"&lt;"&amp;DATE(2022,5,31),'DATA INPUT'!$F$3:$F$3000,"&lt;&gt;*Exclude*")=0,#N/A,(SUMIFS('DATA INPUT'!$E$3:$E$3000,'DATA INPUT'!$B$3:$B$3000,'Report Tables'!AH$1,'DATA INPUT'!$A$3:$A$3000,"&gt;="&amp;DATE(2022,5,1),'DATA INPUT'!$A$3:$A$3000,"&lt;"&amp;DATE(2022,5,31),'DATA INPUT'!$F$3:$F$3000,"&lt;&gt;*Exclude*"))))</f>
        <v>#N/A</v>
      </c>
      <c r="AI67" s="136" t="e">
        <f t="shared" si="0"/>
        <v>#N/A</v>
      </c>
      <c r="AJ67" s="136" t="e">
        <f>IF($L$2="Yes",IF(SUMIFS('DATA INPUT'!$D$3:$D$3000,'DATA INPUT'!$A$3:$A$3000,"&gt;="&amp;DATE(2022,5,1),'DATA INPUT'!$A$3:$A$3000,"&lt;"&amp;DATE(2022,5,31),'DATA INPUT'!$G$3:$G$3000,"&lt;&gt;*School service*")=0,#N/A,(SUMIFS('DATA INPUT'!$D$3:$D$3000,'DATA INPUT'!$A$3:$A$3000,"&gt;="&amp;DATE(2022,5,1),'DATA INPUT'!$A$3:$A$3000,"&lt;"&amp;DATE(2022,5,31),'DATA INPUT'!$G$3:$G$3000,"&lt;&gt;*School service*"))),IF(SUMIFS('DATA INPUT'!$D$3:$D$3000,'DATA INPUT'!$A$3:$A$3000,"&gt;="&amp;DATE(2022,5,1),'DATA INPUT'!$A$3:$A$3000,"&lt;"&amp;DATE(2022,5,31),'DATA INPUT'!$F$3:$F$3000,"&lt;&gt;*Exclude*",'DATA INPUT'!$G$3:$G$3000,"&lt;&gt;*School service*")=0,#N/A,(SUMIFS('DATA INPUT'!$D$3:$D$3000,'DATA INPUT'!$A$3:$A$3000,"&gt;="&amp;DATE(2022,5,1),'DATA INPUT'!$A$3:$A$3000,"&lt;"&amp;DATE(2022,5,31),'DATA INPUT'!$F$3:$F$3000,"&lt;&gt;*Exclude*",'DATA INPUT'!$G$3:$G$3000,"&lt;&gt;*School service*"))))</f>
        <v>#N/A</v>
      </c>
      <c r="AK67" s="136" t="e">
        <f>AI67-AJ67</f>
        <v>#N/A</v>
      </c>
      <c r="AM67" s="117" t="e">
        <f>IF($L$2="Yes",IFERROR((SUMIFS('DATA INPUT'!$E$3:$E$3000,'DATA INPUT'!$B$3:$B$3000,'Report Tables'!AM$1,'DATA INPUT'!$A$3:$A$3000,"&gt;="&amp;DATE(2022,5,1),'DATA INPUT'!$A$3:$A$3000,"&lt;"&amp;DATE(2022,5,31)))/COUNTIFS('DATA INPUT'!$B$3:$B$3000,'Report Tables'!AM$1,'DATA INPUT'!$A$3:$A$3000,"&gt;="&amp;DATE(2022,5,1),'DATA INPUT'!$A$3:$A$3000,"&lt;"&amp;DATE(2022,5,31)),#N/A),IFERROR((SUMIFS('DATA INPUT'!$E$3:$E$3000,'DATA INPUT'!$B$3:$B$3000,'Report Tables'!AM$1,'DATA INPUT'!$A$3:$A$3000,"&gt;="&amp;DATE(2022,5,1),'DATA INPUT'!$A$3:$A$3000,"&lt;"&amp;DATE(2022,5,31),'DATA INPUT'!$F$3:$F$3000,"&lt;&gt;*Exclude*"))/(COUNTIFS('DATA INPUT'!$B$3:$B$3000,'Report Tables'!AM$1,'DATA INPUT'!$A$3:$A$3000,"&gt;="&amp;DATE(2022,5,1),'DATA INPUT'!$A$3:$A$3000,"&lt;"&amp;DATE(2022,5,31),'DATA INPUT'!$F$3:$F$3000,"&lt;&gt;*Exclude*")),#N/A))</f>
        <v>#N/A</v>
      </c>
      <c r="AN67" s="117" t="e">
        <f>IF($L$2="Yes",IFERROR((SUMIFS('DATA INPUT'!$E$3:$E$3000,'DATA INPUT'!$B$3:$B$3000,'Report Tables'!AN$1,'DATA INPUT'!$A$3:$A$3000,"&gt;="&amp;DATE(2022,5,1),'DATA INPUT'!$A$3:$A$3000,"&lt;"&amp;DATE(2022,5,31)))/COUNTIFS('DATA INPUT'!$B$3:$B$3000,'Report Tables'!AN$1,'DATA INPUT'!$A$3:$A$3000,"&gt;="&amp;DATE(2022,5,1),'DATA INPUT'!$A$3:$A$3000,"&lt;"&amp;DATE(2022,5,31)),#N/A),IFERROR((SUMIFS('DATA INPUT'!$E$3:$E$3000,'DATA INPUT'!$B$3:$B$3000,'Report Tables'!AN$1,'DATA INPUT'!$A$3:$A$3000,"&gt;="&amp;DATE(2022,5,1),'DATA INPUT'!$A$3:$A$3000,"&lt;"&amp;DATE(2022,5,31),'DATA INPUT'!$F$3:$F$3000,"&lt;&gt;*Exclude*"))/(COUNTIFS('DATA INPUT'!$B$3:$B$3000,'Report Tables'!AN$1,'DATA INPUT'!$A$3:$A$3000,"&gt;="&amp;DATE(2022,5,1),'DATA INPUT'!$A$3:$A$3000,"&lt;"&amp;DATE(2022,5,31),'DATA INPUT'!$F$3:$F$3000,"&lt;&gt;*Exclude*")),#N/A))</f>
        <v>#N/A</v>
      </c>
      <c r="AO67" s="117" t="e">
        <f>IF($L$2="Yes",IFERROR((SUMIFS('DATA INPUT'!$E$3:$E$3000,'DATA INPUT'!$B$3:$B$3000,'Report Tables'!AO$1,'DATA INPUT'!$A$3:$A$3000,"&gt;="&amp;DATE(2022,5,1),'DATA INPUT'!$A$3:$A$3000,"&lt;"&amp;DATE(2022,5,31)))/COUNTIFS('DATA INPUT'!$B$3:$B$3000,'Report Tables'!AO$1,'DATA INPUT'!$A$3:$A$3000,"&gt;="&amp;DATE(2022,5,1),'DATA INPUT'!$A$3:$A$3000,"&lt;"&amp;DATE(2022,5,31)),#N/A),IFERROR((SUMIFS('DATA INPUT'!$E$3:$E$3000,'DATA INPUT'!$B$3:$B$3000,'Report Tables'!AO$1,'DATA INPUT'!$A$3:$A$3000,"&gt;="&amp;DATE(2022,5,1),'DATA INPUT'!$A$3:$A$3000,"&lt;"&amp;DATE(2022,5,31),'DATA INPUT'!$F$3:$F$3000,"&lt;&gt;*Exclude*"))/(COUNTIFS('DATA INPUT'!$B$3:$B$3000,'Report Tables'!AO$1,'DATA INPUT'!$A$3:$A$3000,"&gt;="&amp;DATE(2022,5,1),'DATA INPUT'!$A$3:$A$3000,"&lt;"&amp;DATE(2022,5,31),'DATA INPUT'!$F$3:$F$3000,"&lt;&gt;*Exclude*")),#N/A))</f>
        <v>#N/A</v>
      </c>
      <c r="AP67" s="117" t="e">
        <f>IF($L$2="Yes",IFERROR((SUMIFS('DATA INPUT'!$E$3:$E$3000,'DATA INPUT'!$B$3:$B$3000,'Report Tables'!AP$1,'DATA INPUT'!$A$3:$A$3000,"&gt;="&amp;DATE(2022,5,1),'DATA INPUT'!$A$3:$A$3000,"&lt;"&amp;DATE(2022,5,31)))/COUNTIFS('DATA INPUT'!$B$3:$B$3000,'Report Tables'!AP$1,'DATA INPUT'!$A$3:$A$3000,"&gt;="&amp;DATE(2022,5,1),'DATA INPUT'!$A$3:$A$3000,"&lt;"&amp;DATE(2022,5,31)),#N/A),IFERROR((SUMIFS('DATA INPUT'!$E$3:$E$3000,'DATA INPUT'!$B$3:$B$3000,'Report Tables'!AP$1,'DATA INPUT'!$A$3:$A$3000,"&gt;="&amp;DATE(2022,5,1),'DATA INPUT'!$A$3:$A$3000,"&lt;"&amp;DATE(2022,5,31),'DATA INPUT'!$F$3:$F$3000,"&lt;&gt;*Exclude*"))/(COUNTIFS('DATA INPUT'!$B$3:$B$3000,'Report Tables'!AP$1,'DATA INPUT'!$A$3:$A$3000,"&gt;="&amp;DATE(2022,5,1),'DATA INPUT'!$A$3:$A$3000,"&lt;"&amp;DATE(2022,5,31),'DATA INPUT'!$F$3:$F$3000,"&lt;&gt;*Exclude*")),#N/A))</f>
        <v>#N/A</v>
      </c>
      <c r="AQ67" s="117" t="e">
        <f>IF($L$2="Yes",IFERROR((SUMIFS('DATA INPUT'!$E$3:$E$3000,'DATA INPUT'!$B$3:$B$3000,'Report Tables'!AQ$1,'DATA INPUT'!$A$3:$A$3000,"&gt;="&amp;DATE(2022,5,1),'DATA INPUT'!$A$3:$A$3000,"&lt;"&amp;DATE(2022,5,31)))/COUNTIFS('DATA INPUT'!$B$3:$B$3000,'Report Tables'!AQ$1,'DATA INPUT'!$A$3:$A$3000,"&gt;="&amp;DATE(2022,5,1),'DATA INPUT'!$A$3:$A$3000,"&lt;"&amp;DATE(2022,5,31)),#N/A),IFERROR((SUMIFS('DATA INPUT'!$E$3:$E$3000,'DATA INPUT'!$B$3:$B$3000,'Report Tables'!AQ$1,'DATA INPUT'!$A$3:$A$3000,"&gt;="&amp;DATE(2022,5,1),'DATA INPUT'!$A$3:$A$3000,"&lt;"&amp;DATE(2022,5,31),'DATA INPUT'!$F$3:$F$3000,"&lt;&gt;*Exclude*"))/(COUNTIFS('DATA INPUT'!$B$3:$B$3000,'Report Tables'!AQ$1,'DATA INPUT'!$A$3:$A$3000,"&gt;="&amp;DATE(2022,5,1),'DATA INPUT'!$A$3:$A$3000,"&lt;"&amp;DATE(2022,5,31),'DATA INPUT'!$F$3:$F$3000,"&lt;&gt;*Exclude*")),#N/A))</f>
        <v>#N/A</v>
      </c>
      <c r="AR67" s="117" t="e">
        <f>IF($L$2="Yes",IFERROR((SUMIFS('DATA INPUT'!$E$3:$E$3000,'DATA INPUT'!$B$3:$B$3000,'Report Tables'!AR$1,'DATA INPUT'!$A$3:$A$3000,"&gt;="&amp;DATE(2022,5,1),'DATA INPUT'!$A$3:$A$3000,"&lt;"&amp;DATE(2022,5,31)))/COUNTIFS('DATA INPUT'!$B$3:$B$3000,'Report Tables'!AR$1,'DATA INPUT'!$A$3:$A$3000,"&gt;="&amp;DATE(2022,5,1),'DATA INPUT'!$A$3:$A$3000,"&lt;"&amp;DATE(2022,5,31)),#N/A),IFERROR((SUMIFS('DATA INPUT'!$E$3:$E$3000,'DATA INPUT'!$B$3:$B$3000,'Report Tables'!AR$1,'DATA INPUT'!$A$3:$A$3000,"&gt;="&amp;DATE(2022,5,1),'DATA INPUT'!$A$3:$A$3000,"&lt;"&amp;DATE(2022,5,31),'DATA INPUT'!$F$3:$F$3000,"&lt;&gt;*Exclude*"))/(COUNTIFS('DATA INPUT'!$B$3:$B$3000,'Report Tables'!AR$1,'DATA INPUT'!$A$3:$A$3000,"&gt;="&amp;DATE(2022,5,1),'DATA INPUT'!$A$3:$A$3000,"&lt;"&amp;DATE(2022,5,31),'DATA INPUT'!$F$3:$F$3000,"&lt;&gt;*Exclude*")),#N/A))</f>
        <v>#N/A</v>
      </c>
      <c r="AS67" s="117" t="e">
        <f>IF($L$2="Yes",IFERROR((SUMIFS('DATA INPUT'!$E$3:$E$3000,'DATA INPUT'!$B$3:$B$3000,'Report Tables'!AS$1,'DATA INPUT'!$A$3:$A$3000,"&gt;="&amp;DATE(2022,5,1),'DATA INPUT'!$A$3:$A$3000,"&lt;"&amp;DATE(2022,5,31)))/COUNTIFS('DATA INPUT'!$B$3:$B$3000,'Report Tables'!AS$1,'DATA INPUT'!$A$3:$A$3000,"&gt;="&amp;DATE(2022,5,1),'DATA INPUT'!$A$3:$A$3000,"&lt;"&amp;DATE(2022,5,31)),#N/A),IFERROR((SUMIFS('DATA INPUT'!$E$3:$E$3000,'DATA INPUT'!$B$3:$B$3000,'Report Tables'!AS$1,'DATA INPUT'!$A$3:$A$3000,"&gt;="&amp;DATE(2022,5,1),'DATA INPUT'!$A$3:$A$3000,"&lt;"&amp;DATE(2022,5,31),'DATA INPUT'!$F$3:$F$3000,"&lt;&gt;*Exclude*"))/(COUNTIFS('DATA INPUT'!$B$3:$B$3000,'Report Tables'!AS$1,'DATA INPUT'!$A$3:$A$3000,"&gt;="&amp;DATE(2022,5,1),'DATA INPUT'!$A$3:$A$3000,"&lt;"&amp;DATE(2022,5,31),'DATA INPUT'!$F$3:$F$3000,"&lt;&gt;*Exclude*")),#N/A))</f>
        <v>#N/A</v>
      </c>
      <c r="AT67" s="117" t="e">
        <f>IF($L$2="Yes",IFERROR((SUMIFS('DATA INPUT'!$E$3:$E$3000,'DATA INPUT'!$B$3:$B$3000,'Report Tables'!AT$1,'DATA INPUT'!$A$3:$A$3000,"&gt;="&amp;DATE(2022,5,1),'DATA INPUT'!$A$3:$A$3000,"&lt;"&amp;DATE(2022,5,31)))/COUNTIFS('DATA INPUT'!$B$3:$B$3000,'Report Tables'!AT$1,'DATA INPUT'!$A$3:$A$3000,"&gt;="&amp;DATE(2022,5,1),'DATA INPUT'!$A$3:$A$3000,"&lt;"&amp;DATE(2022,5,31)),#N/A),IFERROR((SUMIFS('DATA INPUT'!$E$3:$E$3000,'DATA INPUT'!$B$3:$B$3000,'Report Tables'!AT$1,'DATA INPUT'!$A$3:$A$3000,"&gt;="&amp;DATE(2022,5,1),'DATA INPUT'!$A$3:$A$3000,"&lt;"&amp;DATE(2022,5,31),'DATA INPUT'!$F$3:$F$3000,"&lt;&gt;*Exclude*"))/(COUNTIFS('DATA INPUT'!$B$3:$B$3000,'Report Tables'!AT$1,'DATA INPUT'!$A$3:$A$3000,"&gt;="&amp;DATE(2022,5,1),'DATA INPUT'!$A$3:$A$3000,"&lt;"&amp;DATE(2022,5,31),'DATA INPUT'!$F$3:$F$3000,"&lt;&gt;*Exclude*")),#N/A))</f>
        <v>#N/A</v>
      </c>
      <c r="AU67" s="117" t="e">
        <f t="shared" si="1"/>
        <v>#N/A</v>
      </c>
      <c r="AV67" s="117" t="e">
        <f>IF($L$2="Yes",IFERROR((SUMIFS('DATA INPUT'!$D$3:$D$3000,'DATA INPUT'!$A$3:$A$3000,"&gt;="&amp;DATE(2022,5,1),'DATA INPUT'!$A$3:$A$3000,"&lt;"&amp;DATE(2022,5,31),'DATA INPUT'!$G$3:$G$3000,"&lt;&gt;*School service*"))/COUNTIFS('DATA INPUT'!$A$3:$A$3000,"&gt;="&amp;DATE(2022,5,1),'DATA INPUT'!$A$3:$A$3000,"&lt;"&amp;DATE(2022,5,31),'DATA INPUT'!$G$3:$G$3000,"&lt;&gt;*School service*",'DATA INPUT'!$D$3:$D$3000,"&lt;&gt;"&amp;""),#N/A),IFERROR((SUMIFS('DATA INPUT'!$D$3:$D$3000,'DATA INPUT'!$A$3:$A$3000,"&gt;="&amp;DATE(2022,5,1),'DATA INPUT'!$A$3:$A$3000,"&lt;"&amp;DATE(2022,5,31),'DATA INPUT'!$F$3:$F$3000,"&lt;&gt;*Exclude*",'DATA INPUT'!$G$3:$G$3000,"&lt;&gt;*School service*"))/(COUNTIFS('DATA INPUT'!$A$3:$A$3000,"&gt;="&amp;DATE(2022,5,1),'DATA INPUT'!$A$3:$A$3000,"&lt;"&amp;DATE(2022,5,31),'DATA INPUT'!$F$3:$F$3000,"&lt;&gt;*Exclude*",'DATA INPUT'!$G$3:$G$3000,"&lt;&gt;*School service*",'DATA INPUT'!$D$3:$D$3000,"&lt;&gt;"&amp;"")),#N/A))</f>
        <v>#N/A</v>
      </c>
      <c r="AW67" s="117" t="e">
        <f t="shared" si="2"/>
        <v>#N/A</v>
      </c>
      <c r="AX67" s="117" t="e">
        <f>IF($L$2="Yes",IFERROR((SUMIFS('DATA INPUT'!$E$3:$E$3000,'DATA INPUT'!$B$3:$B$3000,'Report Tables'!AX$1,'DATA INPUT'!$A$3:$A$3000,"&gt;="&amp;DATE(2022,5,1),'DATA INPUT'!$A$3:$A$3000,"&lt;"&amp;DATE(2022,5,31)))/COUNTIFS('DATA INPUT'!$B$3:$B$3000,'Report Tables'!AX$1,'DATA INPUT'!$A$3:$A$3000,"&gt;="&amp;DATE(2022,5,1),'DATA INPUT'!$A$3:$A$3000,"&lt;"&amp;DATE(2022,5,31)),#N/A),IFERROR((SUMIFS('DATA INPUT'!$E$3:$E$3000,'DATA INPUT'!$B$3:$B$3000,'Report Tables'!AX$1,'DATA INPUT'!$A$3:$A$3000,"&gt;="&amp;DATE(2022,5,1),'DATA INPUT'!$A$3:$A$3000,"&lt;"&amp;DATE(2022,5,31),'DATA INPUT'!$F$3:$F$3000,"&lt;&gt;*Exclude*"))/(COUNTIFS('DATA INPUT'!$B$3:$B$3000,'Report Tables'!AX$1,'DATA INPUT'!$A$3:$A$3000,"&gt;="&amp;DATE(2022,5,1),'DATA INPUT'!$A$3:$A$3000,"&lt;"&amp;DATE(2022,5,31),'DATA INPUT'!$F$3:$F$3000,"&lt;&gt;*Exclude*")),#N/A))</f>
        <v>#N/A</v>
      </c>
      <c r="AY67" s="117" t="e">
        <f>IF($L$2="Yes",IFERROR((SUMIFS('DATA INPUT'!$D$3:$D$3000,'DATA INPUT'!$B$3:$B$3000,'Report Tables'!AX$1,'DATA INPUT'!$A$3:$A$3000,"&gt;="&amp;DATE(2022,5,1),'DATA INPUT'!$A$3:$A$3000,"&lt;"&amp;DATE(2022,5,31)))/COUNTIFS('DATA INPUT'!$B$3:$B$3000,'Report Tables'!AX$1,'DATA INPUT'!$A$3:$A$3000,"&gt;="&amp;DATE(2022,5,1),'DATA INPUT'!$A$3:$A$3000,"&lt;"&amp;DATE(2022,5,31)),#N/A),IFERROR((SUMIFS('DATA INPUT'!$D$3:$D$3000,'DATA INPUT'!$B$3:$B$3000,'Report Tables'!AX$1,'DATA INPUT'!$A$3:$A$3000,"&gt;="&amp;DATE(2022,5,1),'DATA INPUT'!$A$3:$A$3000,"&lt;"&amp;DATE(2022,5,31),'DATA INPUT'!$F$3:$F$3000,"&lt;&gt;*Exclude*"))/(COUNTIFS('DATA INPUT'!$B$3:$B$3000,'Report Tables'!AX$1,'DATA INPUT'!$A$3:$A$3000,"&gt;="&amp;DATE(2022,5,1),'DATA INPUT'!$A$3:$A$3000,"&lt;"&amp;DATE(2022,5,31),'DATA INPUT'!$F$3:$F$3000,"&lt;&gt;*Exclude*")),#N/A))</f>
        <v>#N/A</v>
      </c>
      <c r="AZ67" s="117" t="e">
        <f>IF($L$2="Yes",IFERROR((SUMIFS('DATA INPUT'!$C$3:$C$3000,'DATA INPUT'!$B$3:$B$3000,'Report Tables'!AX$1,'DATA INPUT'!$A$3:$A$3000,"&gt;="&amp;DATE(2022,5,1),'DATA INPUT'!$A$3:$A$3000,"&lt;"&amp;DATE(2022,5,31)))/COUNTIFS('DATA INPUT'!$B$3:$B$3000,'Report Tables'!AX$1,'DATA INPUT'!$A$3:$A$3000,"&gt;="&amp;DATE(2022,5,1),'DATA INPUT'!$A$3:$A$3000,"&lt;"&amp;DATE(2022,5,31)),#N/A),IFERROR((SUMIFS('DATA INPUT'!$C$3:$C$3000,'DATA INPUT'!$B$3:$B$3000,'Report Tables'!AX$1,'DATA INPUT'!$A$3:$A$3000,"&gt;="&amp;DATE(2022,5,1),'DATA INPUT'!$A$3:$A$3000,"&lt;"&amp;DATE(2022,5,31),'DATA INPUT'!$F$3:$F$3000,"&lt;&gt;*Exclude*"))/(COUNTIFS('DATA INPUT'!$B$3:$B$3000,'Report Tables'!AX$1,'DATA INPUT'!$A$3:$A$3000,"&gt;="&amp;DATE(2022,5,1),'DATA INPUT'!$A$3:$A$3000,"&lt;"&amp;DATE(2022,5,31),'DATA INPUT'!$F$3:$F$3000,"&lt;&gt;*Exclude*")),#N/A))</f>
        <v>#N/A</v>
      </c>
    </row>
    <row r="68" spans="25:52" x14ac:dyDescent="0.3">
      <c r="Y68" s="149"/>
      <c r="Z68" s="149" t="s">
        <v>17</v>
      </c>
      <c r="AA68" s="136" t="e">
        <f>IF($L$2="Yes",IF(SUMIFS('DATA INPUT'!$E$3:$E$3000,'DATA INPUT'!$B$3:$B$3000,'Report Tables'!AA$1,'DATA INPUT'!$A$3:$A$3000,"&gt;="&amp;DATE(2022,6,1),'DATA INPUT'!$A$3:$A$3000,"&lt;"&amp;DATE(2022,6,31))=0,#N/A,(SUMIFS('DATA INPUT'!$E$3:$E$3000,'DATA INPUT'!$B$3:$B$3000,'Report Tables'!AA$1,'DATA INPUT'!$A$3:$A$3000,"&gt;="&amp;DATE(2022,6,1),'DATA INPUT'!$A$3:$A$3000,"&lt;"&amp;DATE(2022,6,31)))),IF(SUMIFS('DATA INPUT'!$E$3:$E$3000,'DATA INPUT'!$B$3:$B$3000,'Report Tables'!AA$1,'DATA INPUT'!$A$3:$A$3000,"&gt;="&amp;DATE(2022,6,1),'DATA INPUT'!$A$3:$A$3000,"&lt;"&amp;DATE(2022,6,31),'DATA INPUT'!$F$3:$F$3000,"&lt;&gt;*Exclude*")=0,#N/A,(SUMIFS('DATA INPUT'!$E$3:$E$3000,'DATA INPUT'!$B$3:$B$3000,'Report Tables'!AA$1,'DATA INPUT'!$A$3:$A$3000,"&gt;="&amp;DATE(2022,6,1),'DATA INPUT'!$A$3:$A$3000,"&lt;"&amp;DATE(2022,6,31),'DATA INPUT'!$F$3:$F$3000,"&lt;&gt;*Exclude*"))))</f>
        <v>#N/A</v>
      </c>
      <c r="AB68" s="136" t="e">
        <f>IF($L$2="Yes",IF(SUMIFS('DATA INPUT'!$E$3:$E$3000,'DATA INPUT'!$B$3:$B$3000,'Report Tables'!AB$1,'DATA INPUT'!$A$3:$A$3000,"&gt;="&amp;DATE(2022,6,1),'DATA INPUT'!$A$3:$A$3000,"&lt;"&amp;DATE(2022,6,31))=0,#N/A,(SUMIFS('DATA INPUT'!$E$3:$E$3000,'DATA INPUT'!$B$3:$B$3000,'Report Tables'!AB$1,'DATA INPUT'!$A$3:$A$3000,"&gt;="&amp;DATE(2022,6,1),'DATA INPUT'!$A$3:$A$3000,"&lt;"&amp;DATE(2022,6,31)))),IF(SUMIFS('DATA INPUT'!$E$3:$E$3000,'DATA INPUT'!$B$3:$B$3000,'Report Tables'!AB$1,'DATA INPUT'!$A$3:$A$3000,"&gt;="&amp;DATE(2022,6,1),'DATA INPUT'!$A$3:$A$3000,"&lt;"&amp;DATE(2022,6,31),'DATA INPUT'!$F$3:$F$3000,"&lt;&gt;*Exclude*")=0,#N/A,(SUMIFS('DATA INPUT'!$E$3:$E$3000,'DATA INPUT'!$B$3:$B$3000,'Report Tables'!AB$1,'DATA INPUT'!$A$3:$A$3000,"&gt;="&amp;DATE(2022,6,1),'DATA INPUT'!$A$3:$A$3000,"&lt;"&amp;DATE(2022,6,31),'DATA INPUT'!$F$3:$F$3000,"&lt;&gt;*Exclude*"))))</f>
        <v>#N/A</v>
      </c>
      <c r="AC68" s="136" t="e">
        <f>IF($L$2="Yes",IF(SUMIFS('DATA INPUT'!$E$3:$E$3000,'DATA INPUT'!$B$3:$B$3000,'Report Tables'!AC$1,'DATA INPUT'!$A$3:$A$3000,"&gt;="&amp;DATE(2022,6,1),'DATA INPUT'!$A$3:$A$3000,"&lt;"&amp;DATE(2022,6,31))=0,#N/A,(SUMIFS('DATA INPUT'!$E$3:$E$3000,'DATA INPUT'!$B$3:$B$3000,'Report Tables'!AC$1,'DATA INPUT'!$A$3:$A$3000,"&gt;="&amp;DATE(2022,6,1),'DATA INPUT'!$A$3:$A$3000,"&lt;"&amp;DATE(2022,6,31)))),IF(SUMIFS('DATA INPUT'!$E$3:$E$3000,'DATA INPUT'!$B$3:$B$3000,'Report Tables'!AC$1,'DATA INPUT'!$A$3:$A$3000,"&gt;="&amp;DATE(2022,6,1),'DATA INPUT'!$A$3:$A$3000,"&lt;"&amp;DATE(2022,6,31),'DATA INPUT'!$F$3:$F$3000,"&lt;&gt;*Exclude*")=0,#N/A,(SUMIFS('DATA INPUT'!$E$3:$E$3000,'DATA INPUT'!$B$3:$B$3000,'Report Tables'!AC$1,'DATA INPUT'!$A$3:$A$3000,"&gt;="&amp;DATE(2022,6,1),'DATA INPUT'!$A$3:$A$3000,"&lt;"&amp;DATE(2022,6,31),'DATA INPUT'!$F$3:$F$3000,"&lt;&gt;*Exclude*"))))</f>
        <v>#N/A</v>
      </c>
      <c r="AD68" s="136" t="e">
        <f>IF($L$2="Yes",IF(SUMIFS('DATA INPUT'!$E$3:$E$3000,'DATA INPUT'!$B$3:$B$3000,'Report Tables'!AD$1,'DATA INPUT'!$A$3:$A$3000,"&gt;="&amp;DATE(2022,6,1),'DATA INPUT'!$A$3:$A$3000,"&lt;"&amp;DATE(2022,6,31))=0,#N/A,(SUMIFS('DATA INPUT'!$E$3:$E$3000,'DATA INPUT'!$B$3:$B$3000,'Report Tables'!AD$1,'DATA INPUT'!$A$3:$A$3000,"&gt;="&amp;DATE(2022,6,1),'DATA INPUT'!$A$3:$A$3000,"&lt;"&amp;DATE(2022,6,31)))),IF(SUMIFS('DATA INPUT'!$E$3:$E$3000,'DATA INPUT'!$B$3:$B$3000,'Report Tables'!AD$1,'DATA INPUT'!$A$3:$A$3000,"&gt;="&amp;DATE(2022,6,1),'DATA INPUT'!$A$3:$A$3000,"&lt;"&amp;DATE(2022,6,31),'DATA INPUT'!$F$3:$F$3000,"&lt;&gt;*Exclude*")=0,#N/A,(SUMIFS('DATA INPUT'!$E$3:$E$3000,'DATA INPUT'!$B$3:$B$3000,'Report Tables'!AD$1,'DATA INPUT'!$A$3:$A$3000,"&gt;="&amp;DATE(2022,6,1),'DATA INPUT'!$A$3:$A$3000,"&lt;"&amp;DATE(2022,6,31),'DATA INPUT'!$F$3:$F$3000,"&lt;&gt;*Exclude*"))))</f>
        <v>#N/A</v>
      </c>
      <c r="AE68" s="136" t="e">
        <f>IF($L$2="Yes",IF(SUMIFS('DATA INPUT'!$E$3:$E$3000,'DATA INPUT'!$B$3:$B$3000,'Report Tables'!AE$1,'DATA INPUT'!$A$3:$A$3000,"&gt;="&amp;DATE(2022,6,1),'DATA INPUT'!$A$3:$A$3000,"&lt;"&amp;DATE(2022,6,31))=0,#N/A,(SUMIFS('DATA INPUT'!$E$3:$E$3000,'DATA INPUT'!$B$3:$B$3000,'Report Tables'!AE$1,'DATA INPUT'!$A$3:$A$3000,"&gt;="&amp;DATE(2022,6,1),'DATA INPUT'!$A$3:$A$3000,"&lt;"&amp;DATE(2022,6,31)))),IF(SUMIFS('DATA INPUT'!$E$3:$E$3000,'DATA INPUT'!$B$3:$B$3000,'Report Tables'!AE$1,'DATA INPUT'!$A$3:$A$3000,"&gt;="&amp;DATE(2022,6,1),'DATA INPUT'!$A$3:$A$3000,"&lt;"&amp;DATE(2022,6,31),'DATA INPUT'!$F$3:$F$3000,"&lt;&gt;*Exclude*")=0,#N/A,(SUMIFS('DATA INPUT'!$E$3:$E$3000,'DATA INPUT'!$B$3:$B$3000,'Report Tables'!AE$1,'DATA INPUT'!$A$3:$A$3000,"&gt;="&amp;DATE(2022,6,1),'DATA INPUT'!$A$3:$A$3000,"&lt;"&amp;DATE(2022,6,31),'DATA INPUT'!$F$3:$F$3000,"&lt;&gt;*Exclude*"))))</f>
        <v>#N/A</v>
      </c>
      <c r="AF68" s="136" t="e">
        <f>IF($L$2="Yes",IF(SUMIFS('DATA INPUT'!$E$3:$E$3000,'DATA INPUT'!$B$3:$B$3000,'Report Tables'!AF$1,'DATA INPUT'!$A$3:$A$3000,"&gt;="&amp;DATE(2022,6,1),'DATA INPUT'!$A$3:$A$3000,"&lt;"&amp;DATE(2022,6,31))=0,#N/A,(SUMIFS('DATA INPUT'!$E$3:$E$3000,'DATA INPUT'!$B$3:$B$3000,'Report Tables'!AF$1,'DATA INPUT'!$A$3:$A$3000,"&gt;="&amp;DATE(2022,6,1),'DATA INPUT'!$A$3:$A$3000,"&lt;"&amp;DATE(2022,6,31)))),IF(SUMIFS('DATA INPUT'!$E$3:$E$3000,'DATA INPUT'!$B$3:$B$3000,'Report Tables'!AF$1,'DATA INPUT'!$A$3:$A$3000,"&gt;="&amp;DATE(2022,6,1),'DATA INPUT'!$A$3:$A$3000,"&lt;"&amp;DATE(2022,6,31),'DATA INPUT'!$F$3:$F$3000,"&lt;&gt;*Exclude*")=0,#N/A,(SUMIFS('DATA INPUT'!$E$3:$E$3000,'DATA INPUT'!$B$3:$B$3000,'Report Tables'!AF$1,'DATA INPUT'!$A$3:$A$3000,"&gt;="&amp;DATE(2022,6,1),'DATA INPUT'!$A$3:$A$3000,"&lt;"&amp;DATE(2022,6,31),'DATA INPUT'!$F$3:$F$3000,"&lt;&gt;*Exclude*"))))</f>
        <v>#N/A</v>
      </c>
      <c r="AG68" s="136" t="e">
        <f>IF($L$2="Yes",IF(SUMIFS('DATA INPUT'!$E$3:$E$3000,'DATA INPUT'!$B$3:$B$3000,'Report Tables'!AG$1,'DATA INPUT'!$A$3:$A$3000,"&gt;="&amp;DATE(2022,6,1),'DATA INPUT'!$A$3:$A$3000,"&lt;"&amp;DATE(2022,6,31))=0,#N/A,(SUMIFS('DATA INPUT'!$E$3:$E$3000,'DATA INPUT'!$B$3:$B$3000,'Report Tables'!AG$1,'DATA INPUT'!$A$3:$A$3000,"&gt;="&amp;DATE(2022,6,1),'DATA INPUT'!$A$3:$A$3000,"&lt;"&amp;DATE(2022,6,31)))),IF(SUMIFS('DATA INPUT'!$E$3:$E$3000,'DATA INPUT'!$B$3:$B$3000,'Report Tables'!AG$1,'DATA INPUT'!$A$3:$A$3000,"&gt;="&amp;DATE(2022,6,1),'DATA INPUT'!$A$3:$A$3000,"&lt;"&amp;DATE(2022,6,31),'DATA INPUT'!$F$3:$F$3000,"&lt;&gt;*Exclude*")=0,#N/A,(SUMIFS('DATA INPUT'!$E$3:$E$3000,'DATA INPUT'!$B$3:$B$3000,'Report Tables'!AG$1,'DATA INPUT'!$A$3:$A$3000,"&gt;="&amp;DATE(2022,6,1),'DATA INPUT'!$A$3:$A$3000,"&lt;"&amp;DATE(2022,6,31),'DATA INPUT'!$F$3:$F$3000,"&lt;&gt;*Exclude*"))))</f>
        <v>#N/A</v>
      </c>
      <c r="AH68" s="136" t="e">
        <f>IF($L$2="Yes",IF(SUMIFS('DATA INPUT'!$E$3:$E$3000,'DATA INPUT'!$B$3:$B$3000,'Report Tables'!AH$1,'DATA INPUT'!$A$3:$A$3000,"&gt;="&amp;DATE(2022,6,1),'DATA INPUT'!$A$3:$A$3000,"&lt;"&amp;DATE(2022,6,31))=0,#N/A,(SUMIFS('DATA INPUT'!$E$3:$E$3000,'DATA INPUT'!$B$3:$B$3000,'Report Tables'!AH$1,'DATA INPUT'!$A$3:$A$3000,"&gt;="&amp;DATE(2022,6,1),'DATA INPUT'!$A$3:$A$3000,"&lt;"&amp;DATE(2022,6,31)))),IF(SUMIFS('DATA INPUT'!$E$3:$E$3000,'DATA INPUT'!$B$3:$B$3000,'Report Tables'!AH$1,'DATA INPUT'!$A$3:$A$3000,"&gt;="&amp;DATE(2022,6,1),'DATA INPUT'!$A$3:$A$3000,"&lt;"&amp;DATE(2022,6,31),'DATA INPUT'!$F$3:$F$3000,"&lt;&gt;*Exclude*")=0,#N/A,(SUMIFS('DATA INPUT'!$E$3:$E$3000,'DATA INPUT'!$B$3:$B$3000,'Report Tables'!AH$1,'DATA INPUT'!$A$3:$A$3000,"&gt;="&amp;DATE(2022,6,1),'DATA INPUT'!$A$3:$A$3000,"&lt;"&amp;DATE(2022,6,31),'DATA INPUT'!$F$3:$F$3000,"&lt;&gt;*Exclude*"))))</f>
        <v>#N/A</v>
      </c>
      <c r="AI68" s="136" t="e">
        <f t="shared" ref="AI68:AI110" si="23">IF(SUMIFS(AA68:AH68,AA68:AH68,"&lt;&gt;#DIV/0!",AA68:AH68,"&lt;&gt;#n/a",$AA$2:$AH$2,"&lt;&gt;*School Service*")=0,#N/A,SUMIFS(AA68:AH68,AA68:AH68,"&lt;&gt;#DIV/0!",AA68:AH68,"&lt;&gt;#n/a",$AA$2:$AH$2,"&lt;&gt;*School Service*"))</f>
        <v>#N/A</v>
      </c>
      <c r="AJ68" s="136" t="e">
        <f>IF($L$2="Yes",IF(SUMIFS('DATA INPUT'!$D$3:$D$3000,'DATA INPUT'!$A$3:$A$3000,"&gt;="&amp;DATE(2022,6,1),'DATA INPUT'!$A$3:$A$3000,"&lt;"&amp;DATE(2022,6,31),'DATA INPUT'!$G$3:$G$3000,"&lt;&gt;*School service*")=0,#N/A,(SUMIFS('DATA INPUT'!$D$3:$D$3000,'DATA INPUT'!$A$3:$A$3000,"&gt;="&amp;DATE(2022,6,1),'DATA INPUT'!$A$3:$A$3000,"&lt;"&amp;DATE(2022,6,31),'DATA INPUT'!$G$3:$G$3000,"&lt;&gt;*School service*"))),IF(SUMIFS('DATA INPUT'!$D$3:$D$3000,'DATA INPUT'!$A$3:$A$3000,"&gt;="&amp;DATE(2022,6,1),'DATA INPUT'!$A$3:$A$3000,"&lt;"&amp;DATE(2022,6,31),'DATA INPUT'!$F$3:$F$3000,"&lt;&gt;*Exclude*",'DATA INPUT'!$G$3:$G$3000,"&lt;&gt;*School service*")=0,#N/A,(SUMIFS('DATA INPUT'!$D$3:$D$3000,'DATA INPUT'!$A$3:$A$3000,"&gt;="&amp;DATE(2022,6,1),'DATA INPUT'!$A$3:$A$3000,"&lt;"&amp;DATE(2022,6,31),'DATA INPUT'!$F$3:$F$3000,"&lt;&gt;*Exclude*",'DATA INPUT'!$G$3:$G$3000,"&lt;&gt;*School service*"))))</f>
        <v>#N/A</v>
      </c>
      <c r="AK68" s="136" t="e">
        <f>AI68-AJ68</f>
        <v>#N/A</v>
      </c>
      <c r="AM68" s="117" t="e">
        <f>IF($L$2="Yes",IFERROR((SUMIFS('DATA INPUT'!$E$3:$E$3000,'DATA INPUT'!$B$3:$B$3000,'Report Tables'!AM$1,'DATA INPUT'!$A$3:$A$3000,"&gt;="&amp;DATE(2022,6,1),'DATA INPUT'!$A$3:$A$3000,"&lt;"&amp;DATE(2022,6,31)))/COUNTIFS('DATA INPUT'!$B$3:$B$3000,'Report Tables'!AM$1,'DATA INPUT'!$A$3:$A$3000,"&gt;="&amp;DATE(2022,6,1),'DATA INPUT'!$A$3:$A$3000,"&lt;"&amp;DATE(2022,6,31)),#N/A),IFERROR((SUMIFS('DATA INPUT'!$E$3:$E$3000,'DATA INPUT'!$B$3:$B$3000,'Report Tables'!AM$1,'DATA INPUT'!$A$3:$A$3000,"&gt;="&amp;DATE(2022,6,1),'DATA INPUT'!$A$3:$A$3000,"&lt;"&amp;DATE(2022,6,31),'DATA INPUT'!$F$3:$F$3000,"&lt;&gt;*Exclude*"))/(COUNTIFS('DATA INPUT'!$B$3:$B$3000,'Report Tables'!AM$1,'DATA INPUT'!$A$3:$A$3000,"&gt;="&amp;DATE(2022,6,1),'DATA INPUT'!$A$3:$A$3000,"&lt;"&amp;DATE(2022,6,31),'DATA INPUT'!$F$3:$F$3000,"&lt;&gt;*Exclude*")),#N/A))</f>
        <v>#N/A</v>
      </c>
      <c r="AN68" s="117" t="e">
        <f>IF($L$2="Yes",IFERROR((SUMIFS('DATA INPUT'!$E$3:$E$3000,'DATA INPUT'!$B$3:$B$3000,'Report Tables'!AN$1,'DATA INPUT'!$A$3:$A$3000,"&gt;="&amp;DATE(2022,6,1),'DATA INPUT'!$A$3:$A$3000,"&lt;"&amp;DATE(2022,6,31)))/COUNTIFS('DATA INPUT'!$B$3:$B$3000,'Report Tables'!AN$1,'DATA INPUT'!$A$3:$A$3000,"&gt;="&amp;DATE(2022,6,1),'DATA INPUT'!$A$3:$A$3000,"&lt;"&amp;DATE(2022,6,31)),#N/A),IFERROR((SUMIFS('DATA INPUT'!$E$3:$E$3000,'DATA INPUT'!$B$3:$B$3000,'Report Tables'!AN$1,'DATA INPUT'!$A$3:$A$3000,"&gt;="&amp;DATE(2022,6,1),'DATA INPUT'!$A$3:$A$3000,"&lt;"&amp;DATE(2022,6,31),'DATA INPUT'!$F$3:$F$3000,"&lt;&gt;*Exclude*"))/(COUNTIFS('DATA INPUT'!$B$3:$B$3000,'Report Tables'!AN$1,'DATA INPUT'!$A$3:$A$3000,"&gt;="&amp;DATE(2022,6,1),'DATA INPUT'!$A$3:$A$3000,"&lt;"&amp;DATE(2022,6,31),'DATA INPUT'!$F$3:$F$3000,"&lt;&gt;*Exclude*")),#N/A))</f>
        <v>#N/A</v>
      </c>
      <c r="AO68" s="117" t="e">
        <f>IF($L$2="Yes",IFERROR((SUMIFS('DATA INPUT'!$E$3:$E$3000,'DATA INPUT'!$B$3:$B$3000,'Report Tables'!AO$1,'DATA INPUT'!$A$3:$A$3000,"&gt;="&amp;DATE(2022,6,1),'DATA INPUT'!$A$3:$A$3000,"&lt;"&amp;DATE(2022,6,31)))/COUNTIFS('DATA INPUT'!$B$3:$B$3000,'Report Tables'!AO$1,'DATA INPUT'!$A$3:$A$3000,"&gt;="&amp;DATE(2022,6,1),'DATA INPUT'!$A$3:$A$3000,"&lt;"&amp;DATE(2022,6,31)),#N/A),IFERROR((SUMIFS('DATA INPUT'!$E$3:$E$3000,'DATA INPUT'!$B$3:$B$3000,'Report Tables'!AO$1,'DATA INPUT'!$A$3:$A$3000,"&gt;="&amp;DATE(2022,6,1),'DATA INPUT'!$A$3:$A$3000,"&lt;"&amp;DATE(2022,6,31),'DATA INPUT'!$F$3:$F$3000,"&lt;&gt;*Exclude*"))/(COUNTIFS('DATA INPUT'!$B$3:$B$3000,'Report Tables'!AO$1,'DATA INPUT'!$A$3:$A$3000,"&gt;="&amp;DATE(2022,6,1),'DATA INPUT'!$A$3:$A$3000,"&lt;"&amp;DATE(2022,6,31),'DATA INPUT'!$F$3:$F$3000,"&lt;&gt;*Exclude*")),#N/A))</f>
        <v>#N/A</v>
      </c>
      <c r="AP68" s="117" t="e">
        <f>IF($L$2="Yes",IFERROR((SUMIFS('DATA INPUT'!$E$3:$E$3000,'DATA INPUT'!$B$3:$B$3000,'Report Tables'!AP$1,'DATA INPUT'!$A$3:$A$3000,"&gt;="&amp;DATE(2022,6,1),'DATA INPUT'!$A$3:$A$3000,"&lt;"&amp;DATE(2022,6,31)))/COUNTIFS('DATA INPUT'!$B$3:$B$3000,'Report Tables'!AP$1,'DATA INPUT'!$A$3:$A$3000,"&gt;="&amp;DATE(2022,6,1),'DATA INPUT'!$A$3:$A$3000,"&lt;"&amp;DATE(2022,6,31)),#N/A),IFERROR((SUMIFS('DATA INPUT'!$E$3:$E$3000,'DATA INPUT'!$B$3:$B$3000,'Report Tables'!AP$1,'DATA INPUT'!$A$3:$A$3000,"&gt;="&amp;DATE(2022,6,1),'DATA INPUT'!$A$3:$A$3000,"&lt;"&amp;DATE(2022,6,31),'DATA INPUT'!$F$3:$F$3000,"&lt;&gt;*Exclude*"))/(COUNTIFS('DATA INPUT'!$B$3:$B$3000,'Report Tables'!AP$1,'DATA INPUT'!$A$3:$A$3000,"&gt;="&amp;DATE(2022,6,1),'DATA INPUT'!$A$3:$A$3000,"&lt;"&amp;DATE(2022,6,31),'DATA INPUT'!$F$3:$F$3000,"&lt;&gt;*Exclude*")),#N/A))</f>
        <v>#N/A</v>
      </c>
      <c r="AQ68" s="117" t="e">
        <f>IF($L$2="Yes",IFERROR((SUMIFS('DATA INPUT'!$E$3:$E$3000,'DATA INPUT'!$B$3:$B$3000,'Report Tables'!AQ$1,'DATA INPUT'!$A$3:$A$3000,"&gt;="&amp;DATE(2022,6,1),'DATA INPUT'!$A$3:$A$3000,"&lt;"&amp;DATE(2022,6,31)))/COUNTIFS('DATA INPUT'!$B$3:$B$3000,'Report Tables'!AQ$1,'DATA INPUT'!$A$3:$A$3000,"&gt;="&amp;DATE(2022,6,1),'DATA INPUT'!$A$3:$A$3000,"&lt;"&amp;DATE(2022,6,31)),#N/A),IFERROR((SUMIFS('DATA INPUT'!$E$3:$E$3000,'DATA INPUT'!$B$3:$B$3000,'Report Tables'!AQ$1,'DATA INPUT'!$A$3:$A$3000,"&gt;="&amp;DATE(2022,6,1),'DATA INPUT'!$A$3:$A$3000,"&lt;"&amp;DATE(2022,6,31),'DATA INPUT'!$F$3:$F$3000,"&lt;&gt;*Exclude*"))/(COUNTIFS('DATA INPUT'!$B$3:$B$3000,'Report Tables'!AQ$1,'DATA INPUT'!$A$3:$A$3000,"&gt;="&amp;DATE(2022,6,1),'DATA INPUT'!$A$3:$A$3000,"&lt;"&amp;DATE(2022,6,31),'DATA INPUT'!$F$3:$F$3000,"&lt;&gt;*Exclude*")),#N/A))</f>
        <v>#N/A</v>
      </c>
      <c r="AR68" s="117" t="e">
        <f>IF($L$2="Yes",IFERROR((SUMIFS('DATA INPUT'!$E$3:$E$3000,'DATA INPUT'!$B$3:$B$3000,'Report Tables'!AR$1,'DATA INPUT'!$A$3:$A$3000,"&gt;="&amp;DATE(2022,6,1),'DATA INPUT'!$A$3:$A$3000,"&lt;"&amp;DATE(2022,6,31)))/COUNTIFS('DATA INPUT'!$B$3:$B$3000,'Report Tables'!AR$1,'DATA INPUT'!$A$3:$A$3000,"&gt;="&amp;DATE(2022,6,1),'DATA INPUT'!$A$3:$A$3000,"&lt;"&amp;DATE(2022,6,31)),#N/A),IFERROR((SUMIFS('DATA INPUT'!$E$3:$E$3000,'DATA INPUT'!$B$3:$B$3000,'Report Tables'!AR$1,'DATA INPUT'!$A$3:$A$3000,"&gt;="&amp;DATE(2022,6,1),'DATA INPUT'!$A$3:$A$3000,"&lt;"&amp;DATE(2022,6,31),'DATA INPUT'!$F$3:$F$3000,"&lt;&gt;*Exclude*"))/(COUNTIFS('DATA INPUT'!$B$3:$B$3000,'Report Tables'!AR$1,'DATA INPUT'!$A$3:$A$3000,"&gt;="&amp;DATE(2022,6,1),'DATA INPUT'!$A$3:$A$3000,"&lt;"&amp;DATE(2022,6,31),'DATA INPUT'!$F$3:$F$3000,"&lt;&gt;*Exclude*")),#N/A))</f>
        <v>#N/A</v>
      </c>
      <c r="AS68" s="117" t="e">
        <f>IF($L$2="Yes",IFERROR((SUMIFS('DATA INPUT'!$E$3:$E$3000,'DATA INPUT'!$B$3:$B$3000,'Report Tables'!AS$1,'DATA INPUT'!$A$3:$A$3000,"&gt;="&amp;DATE(2022,6,1),'DATA INPUT'!$A$3:$A$3000,"&lt;"&amp;DATE(2022,6,31)))/COUNTIFS('DATA INPUT'!$B$3:$B$3000,'Report Tables'!AS$1,'DATA INPUT'!$A$3:$A$3000,"&gt;="&amp;DATE(2022,6,1),'DATA INPUT'!$A$3:$A$3000,"&lt;"&amp;DATE(2022,6,31)),#N/A),IFERROR((SUMIFS('DATA INPUT'!$E$3:$E$3000,'DATA INPUT'!$B$3:$B$3000,'Report Tables'!AS$1,'DATA INPUT'!$A$3:$A$3000,"&gt;="&amp;DATE(2022,6,1),'DATA INPUT'!$A$3:$A$3000,"&lt;"&amp;DATE(2022,6,31),'DATA INPUT'!$F$3:$F$3000,"&lt;&gt;*Exclude*"))/(COUNTIFS('DATA INPUT'!$B$3:$B$3000,'Report Tables'!AS$1,'DATA INPUT'!$A$3:$A$3000,"&gt;="&amp;DATE(2022,6,1),'DATA INPUT'!$A$3:$A$3000,"&lt;"&amp;DATE(2022,6,31),'DATA INPUT'!$F$3:$F$3000,"&lt;&gt;*Exclude*")),#N/A))</f>
        <v>#N/A</v>
      </c>
      <c r="AT68" s="117" t="e">
        <f>IF($L$2="Yes",IFERROR((SUMIFS('DATA INPUT'!$E$3:$E$3000,'DATA INPUT'!$B$3:$B$3000,'Report Tables'!AT$1,'DATA INPUT'!$A$3:$A$3000,"&gt;="&amp;DATE(2022,6,1),'DATA INPUT'!$A$3:$A$3000,"&lt;"&amp;DATE(2022,6,31)))/COUNTIFS('DATA INPUT'!$B$3:$B$3000,'Report Tables'!AT$1,'DATA INPUT'!$A$3:$A$3000,"&gt;="&amp;DATE(2022,6,1),'DATA INPUT'!$A$3:$A$3000,"&lt;"&amp;DATE(2022,6,31)),#N/A),IFERROR((SUMIFS('DATA INPUT'!$E$3:$E$3000,'DATA INPUT'!$B$3:$B$3000,'Report Tables'!AT$1,'DATA INPUT'!$A$3:$A$3000,"&gt;="&amp;DATE(2022,6,1),'DATA INPUT'!$A$3:$A$3000,"&lt;"&amp;DATE(2022,6,31),'DATA INPUT'!$F$3:$F$3000,"&lt;&gt;*Exclude*"))/(COUNTIFS('DATA INPUT'!$B$3:$B$3000,'Report Tables'!AT$1,'DATA INPUT'!$A$3:$A$3000,"&gt;="&amp;DATE(2022,6,1),'DATA INPUT'!$A$3:$A$3000,"&lt;"&amp;DATE(2022,6,31),'DATA INPUT'!$F$3:$F$3000,"&lt;&gt;*Exclude*")),#N/A))</f>
        <v>#N/A</v>
      </c>
      <c r="AU68" s="117" t="e">
        <f t="shared" ref="AU68:AU110" si="24">IF(SUMIFS(AM68:AT68,AM68:AT68,"&lt;&gt;#DIV/0!",AM68:AT68,"&lt;&gt;#n/a",$AA$2:$AH$2,"&lt;&gt;*School Service*")=0,#N/A,SUMIFS(AM68:AT68,AM68:AT68,"&lt;&gt;#DIV/0!",AM68:AT68,"&lt;&gt;#n/a",$AA$2:$AH$2,"&lt;&gt;*School Service*"))</f>
        <v>#N/A</v>
      </c>
      <c r="AV68" s="117" t="e">
        <f>IF($L$2="Yes",IFERROR((SUMIFS('DATA INPUT'!$D$3:$D$3000,'DATA INPUT'!$A$3:$A$3000,"&gt;="&amp;DATE(2022,6,1),'DATA INPUT'!$A$3:$A$3000,"&lt;"&amp;DATE(2022,6,31),'DATA INPUT'!$G$3:$G$3000,"&lt;&gt;*School service*"))/COUNTIFS('DATA INPUT'!$A$3:$A$3000,"&gt;="&amp;DATE(2022,6,1),'DATA INPUT'!$A$3:$A$3000,"&lt;"&amp;DATE(2022,6,31),'DATA INPUT'!$G$3:$G$3000,"&lt;&gt;*School service*",'DATA INPUT'!$D$3:$D$3000,"&lt;&gt;"&amp;""),#N/A),IFERROR((SUMIFS('DATA INPUT'!$D$3:$D$3000,'DATA INPUT'!$A$3:$A$3000,"&gt;="&amp;DATE(2022,6,1),'DATA INPUT'!$A$3:$A$3000,"&lt;"&amp;DATE(2022,6,31),'DATA INPUT'!$F$3:$F$3000,"&lt;&gt;*Exclude*",'DATA INPUT'!$G$3:$G$3000,"&lt;&gt;*School service*"))/(COUNTIFS('DATA INPUT'!$A$3:$A$3000,"&gt;="&amp;DATE(2022,6,1),'DATA INPUT'!$A$3:$A$3000,"&lt;"&amp;DATE(2022,6,31),'DATA INPUT'!$F$3:$F$3000,"&lt;&gt;*Exclude*",'DATA INPUT'!$G$3:$G$3000,"&lt;&gt;*School service*",'DATA INPUT'!$D$3:$D$3000,"&lt;&gt;"&amp;"")),#N/A))</f>
        <v>#N/A</v>
      </c>
      <c r="AW68" s="117" t="e">
        <f t="shared" ref="AW68:AW110" si="25">IF(IF(ISNA(AU68),0,AU68)-IF(ISNA(AV68),0,AV68)=0,#N/A,IF(ISNA(AU68),0,AU68)-IF(ISNA(AV68),0,AV68))</f>
        <v>#N/A</v>
      </c>
      <c r="AX68" s="117" t="e">
        <f>IF($L$2="Yes",IFERROR((SUMIFS('DATA INPUT'!$E$3:$E$3000,'DATA INPUT'!$B$3:$B$3000,'Report Tables'!AX$1,'DATA INPUT'!$A$3:$A$3000,"&gt;="&amp;DATE(2022,6,1),'DATA INPUT'!$A$3:$A$3000,"&lt;"&amp;DATE(2022,6,31)))/COUNTIFS('DATA INPUT'!$B$3:$B$3000,'Report Tables'!AX$1,'DATA INPUT'!$A$3:$A$3000,"&gt;="&amp;DATE(2022,6,1),'DATA INPUT'!$A$3:$A$3000,"&lt;"&amp;DATE(2022,6,31)),#N/A),IFERROR((SUMIFS('DATA INPUT'!$E$3:$E$3000,'DATA INPUT'!$B$3:$B$3000,'Report Tables'!AX$1,'DATA INPUT'!$A$3:$A$3000,"&gt;="&amp;DATE(2022,6,1),'DATA INPUT'!$A$3:$A$3000,"&lt;"&amp;DATE(2022,6,31),'DATA INPUT'!$F$3:$F$3000,"&lt;&gt;*Exclude*"))/(COUNTIFS('DATA INPUT'!$B$3:$B$3000,'Report Tables'!AX$1,'DATA INPUT'!$A$3:$A$3000,"&gt;="&amp;DATE(2022,6,1),'DATA INPUT'!$A$3:$A$3000,"&lt;"&amp;DATE(2022,6,31),'DATA INPUT'!$F$3:$F$3000,"&lt;&gt;*Exclude*")),#N/A))</f>
        <v>#N/A</v>
      </c>
      <c r="AY68" s="117" t="e">
        <f>IF($L$2="Yes",IFERROR((SUMIFS('DATA INPUT'!$D$3:$D$3000,'DATA INPUT'!$B$3:$B$3000,'Report Tables'!AX$1,'DATA INPUT'!$A$3:$A$3000,"&gt;="&amp;DATE(2022,6,1),'DATA INPUT'!$A$3:$A$3000,"&lt;"&amp;DATE(2022,6,31)))/COUNTIFS('DATA INPUT'!$B$3:$B$3000,'Report Tables'!AX$1,'DATA INPUT'!$A$3:$A$3000,"&gt;="&amp;DATE(2022,6,1),'DATA INPUT'!$A$3:$A$3000,"&lt;"&amp;DATE(2022,6,31)),#N/A),IFERROR((SUMIFS('DATA INPUT'!$D$3:$D$3000,'DATA INPUT'!$B$3:$B$3000,'Report Tables'!AX$1,'DATA INPUT'!$A$3:$A$3000,"&gt;="&amp;DATE(2022,6,1),'DATA INPUT'!$A$3:$A$3000,"&lt;"&amp;DATE(2022,6,31),'DATA INPUT'!$F$3:$F$3000,"&lt;&gt;*Exclude*"))/(COUNTIFS('DATA INPUT'!$B$3:$B$3000,'Report Tables'!AX$1,'DATA INPUT'!$A$3:$A$3000,"&gt;="&amp;DATE(2022,6,1),'DATA INPUT'!$A$3:$A$3000,"&lt;"&amp;DATE(2022,6,31),'DATA INPUT'!$F$3:$F$3000,"&lt;&gt;*Exclude*")),#N/A))</f>
        <v>#N/A</v>
      </c>
      <c r="AZ68" s="117" t="e">
        <f>IF($L$2="Yes",IFERROR((SUMIFS('DATA INPUT'!$C$3:$C$3000,'DATA INPUT'!$B$3:$B$3000,'Report Tables'!AX$1,'DATA INPUT'!$A$3:$A$3000,"&gt;="&amp;DATE(2022,6,1),'DATA INPUT'!$A$3:$A$3000,"&lt;"&amp;DATE(2022,6,31)))/COUNTIFS('DATA INPUT'!$B$3:$B$3000,'Report Tables'!AX$1,'DATA INPUT'!$A$3:$A$3000,"&gt;="&amp;DATE(2022,6,1),'DATA INPUT'!$A$3:$A$3000,"&lt;"&amp;DATE(2022,6,31)),#N/A),IFERROR((SUMIFS('DATA INPUT'!$C$3:$C$3000,'DATA INPUT'!$B$3:$B$3000,'Report Tables'!AX$1,'DATA INPUT'!$A$3:$A$3000,"&gt;="&amp;DATE(2022,6,1),'DATA INPUT'!$A$3:$A$3000,"&lt;"&amp;DATE(2022,6,31),'DATA INPUT'!$F$3:$F$3000,"&lt;&gt;*Exclude*"))/(COUNTIFS('DATA INPUT'!$B$3:$B$3000,'Report Tables'!AX$1,'DATA INPUT'!$A$3:$A$3000,"&gt;="&amp;DATE(2022,6,1),'DATA INPUT'!$A$3:$A$3000,"&lt;"&amp;DATE(2022,6,31),'DATA INPUT'!$F$3:$F$3000,"&lt;&gt;*Exclude*")),#N/A))</f>
        <v>#N/A</v>
      </c>
    </row>
    <row r="69" spans="25:52" x14ac:dyDescent="0.3">
      <c r="Y69" s="149"/>
      <c r="Z69" s="149" t="s">
        <v>18</v>
      </c>
      <c r="AA69" s="136" t="e">
        <f>IF($L$2="Yes",IF(SUMIFS('DATA INPUT'!$E$3:$E$3000,'DATA INPUT'!$B$3:$B$3000,'Report Tables'!AA$1,'DATA INPUT'!$A$3:$A$3000,"&gt;="&amp;DATE(2022,7,1),'DATA INPUT'!$A$3:$A$3000,"&lt;"&amp;DATE(2022,7,31))=0,#N/A,(SUMIFS('DATA INPUT'!$E$3:$E$3000,'DATA INPUT'!$B$3:$B$3000,'Report Tables'!AA$1,'DATA INPUT'!$A$3:$A$3000,"&gt;="&amp;DATE(2022,7,1),'DATA INPUT'!$A$3:$A$3000,"&lt;"&amp;DATE(2022,7,31)))),IF(SUMIFS('DATA INPUT'!$E$3:$E$3000,'DATA INPUT'!$B$3:$B$3000,'Report Tables'!AA$1,'DATA INPUT'!$A$3:$A$3000,"&gt;="&amp;DATE(2022,7,1),'DATA INPUT'!$A$3:$A$3000,"&lt;"&amp;DATE(2022,7,31),'DATA INPUT'!$F$3:$F$3000,"&lt;&gt;*Exclude*")=0,#N/A,(SUMIFS('DATA INPUT'!$E$3:$E$3000,'DATA INPUT'!$B$3:$B$3000,'Report Tables'!AA$1,'DATA INPUT'!$A$3:$A$3000,"&gt;="&amp;DATE(2022,7,1),'DATA INPUT'!$A$3:$A$3000,"&lt;"&amp;DATE(2022,7,31),'DATA INPUT'!$F$3:$F$3000,"&lt;&gt;*Exclude*"))))</f>
        <v>#N/A</v>
      </c>
      <c r="AB69" s="136" t="e">
        <f>IF($L$2="Yes",IF(SUMIFS('DATA INPUT'!$E$3:$E$3000,'DATA INPUT'!$B$3:$B$3000,'Report Tables'!AB$1,'DATA INPUT'!$A$3:$A$3000,"&gt;="&amp;DATE(2022,7,1),'DATA INPUT'!$A$3:$A$3000,"&lt;"&amp;DATE(2022,7,31))=0,#N/A,(SUMIFS('DATA INPUT'!$E$3:$E$3000,'DATA INPUT'!$B$3:$B$3000,'Report Tables'!AB$1,'DATA INPUT'!$A$3:$A$3000,"&gt;="&amp;DATE(2022,7,1),'DATA INPUT'!$A$3:$A$3000,"&lt;"&amp;DATE(2022,7,31)))),IF(SUMIFS('DATA INPUT'!$E$3:$E$3000,'DATA INPUT'!$B$3:$B$3000,'Report Tables'!AB$1,'DATA INPUT'!$A$3:$A$3000,"&gt;="&amp;DATE(2022,7,1),'DATA INPUT'!$A$3:$A$3000,"&lt;"&amp;DATE(2022,7,31),'DATA INPUT'!$F$3:$F$3000,"&lt;&gt;*Exclude*")=0,#N/A,(SUMIFS('DATA INPUT'!$E$3:$E$3000,'DATA INPUT'!$B$3:$B$3000,'Report Tables'!AB$1,'DATA INPUT'!$A$3:$A$3000,"&gt;="&amp;DATE(2022,7,1),'DATA INPUT'!$A$3:$A$3000,"&lt;"&amp;DATE(2022,7,31),'DATA INPUT'!$F$3:$F$3000,"&lt;&gt;*Exclude*"))))</f>
        <v>#N/A</v>
      </c>
      <c r="AC69" s="136" t="e">
        <f>IF($L$2="Yes",IF(SUMIFS('DATA INPUT'!$E$3:$E$3000,'DATA INPUT'!$B$3:$B$3000,'Report Tables'!AC$1,'DATA INPUT'!$A$3:$A$3000,"&gt;="&amp;DATE(2022,7,1),'DATA INPUT'!$A$3:$A$3000,"&lt;"&amp;DATE(2022,7,31))=0,#N/A,(SUMIFS('DATA INPUT'!$E$3:$E$3000,'DATA INPUT'!$B$3:$B$3000,'Report Tables'!AC$1,'DATA INPUT'!$A$3:$A$3000,"&gt;="&amp;DATE(2022,7,1),'DATA INPUT'!$A$3:$A$3000,"&lt;"&amp;DATE(2022,7,31)))),IF(SUMIFS('DATA INPUT'!$E$3:$E$3000,'DATA INPUT'!$B$3:$B$3000,'Report Tables'!AC$1,'DATA INPUT'!$A$3:$A$3000,"&gt;="&amp;DATE(2022,7,1),'DATA INPUT'!$A$3:$A$3000,"&lt;"&amp;DATE(2022,7,31),'DATA INPUT'!$F$3:$F$3000,"&lt;&gt;*Exclude*")=0,#N/A,(SUMIFS('DATA INPUT'!$E$3:$E$3000,'DATA INPUT'!$B$3:$B$3000,'Report Tables'!AC$1,'DATA INPUT'!$A$3:$A$3000,"&gt;="&amp;DATE(2022,7,1),'DATA INPUT'!$A$3:$A$3000,"&lt;"&amp;DATE(2022,7,31),'DATA INPUT'!$F$3:$F$3000,"&lt;&gt;*Exclude*"))))</f>
        <v>#N/A</v>
      </c>
      <c r="AD69" s="136" t="e">
        <f>IF($L$2="Yes",IF(SUMIFS('DATA INPUT'!$E$3:$E$3000,'DATA INPUT'!$B$3:$B$3000,'Report Tables'!AD$1,'DATA INPUT'!$A$3:$A$3000,"&gt;="&amp;DATE(2022,7,1),'DATA INPUT'!$A$3:$A$3000,"&lt;"&amp;DATE(2022,7,31))=0,#N/A,(SUMIFS('DATA INPUT'!$E$3:$E$3000,'DATA INPUT'!$B$3:$B$3000,'Report Tables'!AD$1,'DATA INPUT'!$A$3:$A$3000,"&gt;="&amp;DATE(2022,7,1),'DATA INPUT'!$A$3:$A$3000,"&lt;"&amp;DATE(2022,7,31)))),IF(SUMIFS('DATA INPUT'!$E$3:$E$3000,'DATA INPUT'!$B$3:$B$3000,'Report Tables'!AD$1,'DATA INPUT'!$A$3:$A$3000,"&gt;="&amp;DATE(2022,7,1),'DATA INPUT'!$A$3:$A$3000,"&lt;"&amp;DATE(2022,7,31),'DATA INPUT'!$F$3:$F$3000,"&lt;&gt;*Exclude*")=0,#N/A,(SUMIFS('DATA INPUT'!$E$3:$E$3000,'DATA INPUT'!$B$3:$B$3000,'Report Tables'!AD$1,'DATA INPUT'!$A$3:$A$3000,"&gt;="&amp;DATE(2022,7,1),'DATA INPUT'!$A$3:$A$3000,"&lt;"&amp;DATE(2022,7,31),'DATA INPUT'!$F$3:$F$3000,"&lt;&gt;*Exclude*"))))</f>
        <v>#N/A</v>
      </c>
      <c r="AE69" s="136" t="e">
        <f>IF($L$2="Yes",IF(SUMIFS('DATA INPUT'!$E$3:$E$3000,'DATA INPUT'!$B$3:$B$3000,'Report Tables'!AE$1,'DATA INPUT'!$A$3:$A$3000,"&gt;="&amp;DATE(2022,7,1),'DATA INPUT'!$A$3:$A$3000,"&lt;"&amp;DATE(2022,7,31))=0,#N/A,(SUMIFS('DATA INPUT'!$E$3:$E$3000,'DATA INPUT'!$B$3:$B$3000,'Report Tables'!AE$1,'DATA INPUT'!$A$3:$A$3000,"&gt;="&amp;DATE(2022,7,1),'DATA INPUT'!$A$3:$A$3000,"&lt;"&amp;DATE(2022,7,31)))),IF(SUMIFS('DATA INPUT'!$E$3:$E$3000,'DATA INPUT'!$B$3:$B$3000,'Report Tables'!AE$1,'DATA INPUT'!$A$3:$A$3000,"&gt;="&amp;DATE(2022,7,1),'DATA INPUT'!$A$3:$A$3000,"&lt;"&amp;DATE(2022,7,31),'DATA INPUT'!$F$3:$F$3000,"&lt;&gt;*Exclude*")=0,#N/A,(SUMIFS('DATA INPUT'!$E$3:$E$3000,'DATA INPUT'!$B$3:$B$3000,'Report Tables'!AE$1,'DATA INPUT'!$A$3:$A$3000,"&gt;="&amp;DATE(2022,7,1),'DATA INPUT'!$A$3:$A$3000,"&lt;"&amp;DATE(2022,7,31),'DATA INPUT'!$F$3:$F$3000,"&lt;&gt;*Exclude*"))))</f>
        <v>#N/A</v>
      </c>
      <c r="AF69" s="136" t="e">
        <f>IF($L$2="Yes",IF(SUMIFS('DATA INPUT'!$E$3:$E$3000,'DATA INPUT'!$B$3:$B$3000,'Report Tables'!AF$1,'DATA INPUT'!$A$3:$A$3000,"&gt;="&amp;DATE(2022,7,1),'DATA INPUT'!$A$3:$A$3000,"&lt;"&amp;DATE(2022,7,31))=0,#N/A,(SUMIFS('DATA INPUT'!$E$3:$E$3000,'DATA INPUT'!$B$3:$B$3000,'Report Tables'!AF$1,'DATA INPUT'!$A$3:$A$3000,"&gt;="&amp;DATE(2022,7,1),'DATA INPUT'!$A$3:$A$3000,"&lt;"&amp;DATE(2022,7,31)))),IF(SUMIFS('DATA INPUT'!$E$3:$E$3000,'DATA INPUT'!$B$3:$B$3000,'Report Tables'!AF$1,'DATA INPUT'!$A$3:$A$3000,"&gt;="&amp;DATE(2022,7,1),'DATA INPUT'!$A$3:$A$3000,"&lt;"&amp;DATE(2022,7,31),'DATA INPUT'!$F$3:$F$3000,"&lt;&gt;*Exclude*")=0,#N/A,(SUMIFS('DATA INPUT'!$E$3:$E$3000,'DATA INPUT'!$B$3:$B$3000,'Report Tables'!AF$1,'DATA INPUT'!$A$3:$A$3000,"&gt;="&amp;DATE(2022,7,1),'DATA INPUT'!$A$3:$A$3000,"&lt;"&amp;DATE(2022,7,31),'DATA INPUT'!$F$3:$F$3000,"&lt;&gt;*Exclude*"))))</f>
        <v>#N/A</v>
      </c>
      <c r="AG69" s="136" t="e">
        <f>IF($L$2="Yes",IF(SUMIFS('DATA INPUT'!$E$3:$E$3000,'DATA INPUT'!$B$3:$B$3000,'Report Tables'!AG$1,'DATA INPUT'!$A$3:$A$3000,"&gt;="&amp;DATE(2022,7,1),'DATA INPUT'!$A$3:$A$3000,"&lt;"&amp;DATE(2022,7,31))=0,#N/A,(SUMIFS('DATA INPUT'!$E$3:$E$3000,'DATA INPUT'!$B$3:$B$3000,'Report Tables'!AG$1,'DATA INPUT'!$A$3:$A$3000,"&gt;="&amp;DATE(2022,7,1),'DATA INPUT'!$A$3:$A$3000,"&lt;"&amp;DATE(2022,7,31)))),IF(SUMIFS('DATA INPUT'!$E$3:$E$3000,'DATA INPUT'!$B$3:$B$3000,'Report Tables'!AG$1,'DATA INPUT'!$A$3:$A$3000,"&gt;="&amp;DATE(2022,7,1),'DATA INPUT'!$A$3:$A$3000,"&lt;"&amp;DATE(2022,7,31),'DATA INPUT'!$F$3:$F$3000,"&lt;&gt;*Exclude*")=0,#N/A,(SUMIFS('DATA INPUT'!$E$3:$E$3000,'DATA INPUT'!$B$3:$B$3000,'Report Tables'!AG$1,'DATA INPUT'!$A$3:$A$3000,"&gt;="&amp;DATE(2022,7,1),'DATA INPUT'!$A$3:$A$3000,"&lt;"&amp;DATE(2022,7,31),'DATA INPUT'!$F$3:$F$3000,"&lt;&gt;*Exclude*"))))</f>
        <v>#N/A</v>
      </c>
      <c r="AH69" s="136" t="e">
        <f>IF($L$2="Yes",IF(SUMIFS('DATA INPUT'!$E$3:$E$3000,'DATA INPUT'!$B$3:$B$3000,'Report Tables'!AH$1,'DATA INPUT'!$A$3:$A$3000,"&gt;="&amp;DATE(2022,7,1),'DATA INPUT'!$A$3:$A$3000,"&lt;"&amp;DATE(2022,7,31))=0,#N/A,(SUMIFS('DATA INPUT'!$E$3:$E$3000,'DATA INPUT'!$B$3:$B$3000,'Report Tables'!AH$1,'DATA INPUT'!$A$3:$A$3000,"&gt;="&amp;DATE(2022,7,1),'DATA INPUT'!$A$3:$A$3000,"&lt;"&amp;DATE(2022,7,31)))),IF(SUMIFS('DATA INPUT'!$E$3:$E$3000,'DATA INPUT'!$B$3:$B$3000,'Report Tables'!AH$1,'DATA INPUT'!$A$3:$A$3000,"&gt;="&amp;DATE(2022,7,1),'DATA INPUT'!$A$3:$A$3000,"&lt;"&amp;DATE(2022,7,31),'DATA INPUT'!$F$3:$F$3000,"&lt;&gt;*Exclude*")=0,#N/A,(SUMIFS('DATA INPUT'!$E$3:$E$3000,'DATA INPUT'!$B$3:$B$3000,'Report Tables'!AH$1,'DATA INPUT'!$A$3:$A$3000,"&gt;="&amp;DATE(2022,7,1),'DATA INPUT'!$A$3:$A$3000,"&lt;"&amp;DATE(2022,7,31),'DATA INPUT'!$F$3:$F$3000,"&lt;&gt;*Exclude*"))))</f>
        <v>#N/A</v>
      </c>
      <c r="AI69" s="136" t="e">
        <f t="shared" si="23"/>
        <v>#N/A</v>
      </c>
      <c r="AJ69" s="136" t="e">
        <f>IF($L$2="Yes",IF(SUMIFS('DATA INPUT'!$D$3:$D$3000,'DATA INPUT'!$A$3:$A$3000,"&gt;="&amp;DATE(2022,7,1),'DATA INPUT'!$A$3:$A$3000,"&lt;"&amp;DATE(2022,7,31),'DATA INPUT'!$G$3:$G$3000,"&lt;&gt;*School service*")=0,#N/A,(SUMIFS('DATA INPUT'!$D$3:$D$3000,'DATA INPUT'!$A$3:$A$3000,"&gt;="&amp;DATE(2022,7,1),'DATA INPUT'!$A$3:$A$3000,"&lt;"&amp;DATE(2022,7,31),'DATA INPUT'!$G$3:$G$3000,"&lt;&gt;*School service*"))),IF(SUMIFS('DATA INPUT'!$D$3:$D$3000,'DATA INPUT'!$A$3:$A$3000,"&gt;="&amp;DATE(2022,7,1),'DATA INPUT'!$A$3:$A$3000,"&lt;"&amp;DATE(2022,7,31),'DATA INPUT'!$F$3:$F$3000,"&lt;&gt;*Exclude*",'DATA INPUT'!$G$3:$G$3000,"&lt;&gt;*School service*")=0,#N/A,(SUMIFS('DATA INPUT'!$D$3:$D$3000,'DATA INPUT'!$A$3:$A$3000,"&gt;="&amp;DATE(2022,7,1),'DATA INPUT'!$A$3:$A$3000,"&lt;"&amp;DATE(2022,7,31),'DATA INPUT'!$F$3:$F$3000,"&lt;&gt;*Exclude*",'DATA INPUT'!$G$3:$G$3000,"&lt;&gt;*School service*"))))</f>
        <v>#N/A</v>
      </c>
      <c r="AK69" s="136" t="e">
        <f>AI69-AJ69</f>
        <v>#N/A</v>
      </c>
      <c r="AM69" s="117" t="e">
        <f>IF($L$2="Yes",IFERROR((SUMIFS('DATA INPUT'!$E$3:$E$3000,'DATA INPUT'!$B$3:$B$3000,'Report Tables'!AM$1,'DATA INPUT'!$A$3:$A$3000,"&gt;="&amp;DATE(2022,7,1),'DATA INPUT'!$A$3:$A$3000,"&lt;"&amp;DATE(2022,7,31)))/COUNTIFS('DATA INPUT'!$B$3:$B$3000,'Report Tables'!AM$1,'DATA INPUT'!$A$3:$A$3000,"&gt;="&amp;DATE(2022,7,1),'DATA INPUT'!$A$3:$A$3000,"&lt;"&amp;DATE(2022,7,31)),#N/A),IFERROR((SUMIFS('DATA INPUT'!$E$3:$E$3000,'DATA INPUT'!$B$3:$B$3000,'Report Tables'!AM$1,'DATA INPUT'!$A$3:$A$3000,"&gt;="&amp;DATE(2022,7,1),'DATA INPUT'!$A$3:$A$3000,"&lt;"&amp;DATE(2022,7,31),'DATA INPUT'!$F$3:$F$3000,"&lt;&gt;*Exclude*"))/(COUNTIFS('DATA INPUT'!$B$3:$B$3000,'Report Tables'!AM$1,'DATA INPUT'!$A$3:$A$3000,"&gt;="&amp;DATE(2022,7,1),'DATA INPUT'!$A$3:$A$3000,"&lt;"&amp;DATE(2022,7,31),'DATA INPUT'!$F$3:$F$3000,"&lt;&gt;*Exclude*")),#N/A))</f>
        <v>#N/A</v>
      </c>
      <c r="AN69" s="117" t="e">
        <f>IF($L$2="Yes",IFERROR((SUMIFS('DATA INPUT'!$E$3:$E$3000,'DATA INPUT'!$B$3:$B$3000,'Report Tables'!AN$1,'DATA INPUT'!$A$3:$A$3000,"&gt;="&amp;DATE(2022,7,1),'DATA INPUT'!$A$3:$A$3000,"&lt;"&amp;DATE(2022,7,31)))/COUNTIFS('DATA INPUT'!$B$3:$B$3000,'Report Tables'!AN$1,'DATA INPUT'!$A$3:$A$3000,"&gt;="&amp;DATE(2022,7,1),'DATA INPUT'!$A$3:$A$3000,"&lt;"&amp;DATE(2022,7,31)),#N/A),IFERROR((SUMIFS('DATA INPUT'!$E$3:$E$3000,'DATA INPUT'!$B$3:$B$3000,'Report Tables'!AN$1,'DATA INPUT'!$A$3:$A$3000,"&gt;="&amp;DATE(2022,7,1),'DATA INPUT'!$A$3:$A$3000,"&lt;"&amp;DATE(2022,7,31),'DATA INPUT'!$F$3:$F$3000,"&lt;&gt;*Exclude*"))/(COUNTIFS('DATA INPUT'!$B$3:$B$3000,'Report Tables'!AN$1,'DATA INPUT'!$A$3:$A$3000,"&gt;="&amp;DATE(2022,7,1),'DATA INPUT'!$A$3:$A$3000,"&lt;"&amp;DATE(2022,7,31),'DATA INPUT'!$F$3:$F$3000,"&lt;&gt;*Exclude*")),#N/A))</f>
        <v>#N/A</v>
      </c>
      <c r="AO69" s="117" t="e">
        <f>IF($L$2="Yes",IFERROR((SUMIFS('DATA INPUT'!$E$3:$E$3000,'DATA INPUT'!$B$3:$B$3000,'Report Tables'!AO$1,'DATA INPUT'!$A$3:$A$3000,"&gt;="&amp;DATE(2022,7,1),'DATA INPUT'!$A$3:$A$3000,"&lt;"&amp;DATE(2022,7,31)))/COUNTIFS('DATA INPUT'!$B$3:$B$3000,'Report Tables'!AO$1,'DATA INPUT'!$A$3:$A$3000,"&gt;="&amp;DATE(2022,7,1),'DATA INPUT'!$A$3:$A$3000,"&lt;"&amp;DATE(2022,7,31)),#N/A),IFERROR((SUMIFS('DATA INPUT'!$E$3:$E$3000,'DATA INPUT'!$B$3:$B$3000,'Report Tables'!AO$1,'DATA INPUT'!$A$3:$A$3000,"&gt;="&amp;DATE(2022,7,1),'DATA INPUT'!$A$3:$A$3000,"&lt;"&amp;DATE(2022,7,31),'DATA INPUT'!$F$3:$F$3000,"&lt;&gt;*Exclude*"))/(COUNTIFS('DATA INPUT'!$B$3:$B$3000,'Report Tables'!AO$1,'DATA INPUT'!$A$3:$A$3000,"&gt;="&amp;DATE(2022,7,1),'DATA INPUT'!$A$3:$A$3000,"&lt;"&amp;DATE(2022,7,31),'DATA INPUT'!$F$3:$F$3000,"&lt;&gt;*Exclude*")),#N/A))</f>
        <v>#N/A</v>
      </c>
      <c r="AP69" s="117" t="e">
        <f>IF($L$2="Yes",IFERROR((SUMIFS('DATA INPUT'!$E$3:$E$3000,'DATA INPUT'!$B$3:$B$3000,'Report Tables'!AP$1,'DATA INPUT'!$A$3:$A$3000,"&gt;="&amp;DATE(2022,7,1),'DATA INPUT'!$A$3:$A$3000,"&lt;"&amp;DATE(2022,7,31)))/COUNTIFS('DATA INPUT'!$B$3:$B$3000,'Report Tables'!AP$1,'DATA INPUT'!$A$3:$A$3000,"&gt;="&amp;DATE(2022,7,1),'DATA INPUT'!$A$3:$A$3000,"&lt;"&amp;DATE(2022,7,31)),#N/A),IFERROR((SUMIFS('DATA INPUT'!$E$3:$E$3000,'DATA INPUT'!$B$3:$B$3000,'Report Tables'!AP$1,'DATA INPUT'!$A$3:$A$3000,"&gt;="&amp;DATE(2022,7,1),'DATA INPUT'!$A$3:$A$3000,"&lt;"&amp;DATE(2022,7,31),'DATA INPUT'!$F$3:$F$3000,"&lt;&gt;*Exclude*"))/(COUNTIFS('DATA INPUT'!$B$3:$B$3000,'Report Tables'!AP$1,'DATA INPUT'!$A$3:$A$3000,"&gt;="&amp;DATE(2022,7,1),'DATA INPUT'!$A$3:$A$3000,"&lt;"&amp;DATE(2022,7,31),'DATA INPUT'!$F$3:$F$3000,"&lt;&gt;*Exclude*")),#N/A))</f>
        <v>#N/A</v>
      </c>
      <c r="AQ69" s="117" t="e">
        <f>IF($L$2="Yes",IFERROR((SUMIFS('DATA INPUT'!$E$3:$E$3000,'DATA INPUT'!$B$3:$B$3000,'Report Tables'!AQ$1,'DATA INPUT'!$A$3:$A$3000,"&gt;="&amp;DATE(2022,7,1),'DATA INPUT'!$A$3:$A$3000,"&lt;"&amp;DATE(2022,7,31)))/COUNTIFS('DATA INPUT'!$B$3:$B$3000,'Report Tables'!AQ$1,'DATA INPUT'!$A$3:$A$3000,"&gt;="&amp;DATE(2022,7,1),'DATA INPUT'!$A$3:$A$3000,"&lt;"&amp;DATE(2022,7,31)),#N/A),IFERROR((SUMIFS('DATA INPUT'!$E$3:$E$3000,'DATA INPUT'!$B$3:$B$3000,'Report Tables'!AQ$1,'DATA INPUT'!$A$3:$A$3000,"&gt;="&amp;DATE(2022,7,1),'DATA INPUT'!$A$3:$A$3000,"&lt;"&amp;DATE(2022,7,31),'DATA INPUT'!$F$3:$F$3000,"&lt;&gt;*Exclude*"))/(COUNTIFS('DATA INPUT'!$B$3:$B$3000,'Report Tables'!AQ$1,'DATA INPUT'!$A$3:$A$3000,"&gt;="&amp;DATE(2022,7,1),'DATA INPUT'!$A$3:$A$3000,"&lt;"&amp;DATE(2022,7,31),'DATA INPUT'!$F$3:$F$3000,"&lt;&gt;*Exclude*")),#N/A))</f>
        <v>#N/A</v>
      </c>
      <c r="AR69" s="117" t="e">
        <f>IF($L$2="Yes",IFERROR((SUMIFS('DATA INPUT'!$E$3:$E$3000,'DATA INPUT'!$B$3:$B$3000,'Report Tables'!AR$1,'DATA INPUT'!$A$3:$A$3000,"&gt;="&amp;DATE(2022,7,1),'DATA INPUT'!$A$3:$A$3000,"&lt;"&amp;DATE(2022,7,31)))/COUNTIFS('DATA INPUT'!$B$3:$B$3000,'Report Tables'!AR$1,'DATA INPUT'!$A$3:$A$3000,"&gt;="&amp;DATE(2022,7,1),'DATA INPUT'!$A$3:$A$3000,"&lt;"&amp;DATE(2022,7,31)),#N/A),IFERROR((SUMIFS('DATA INPUT'!$E$3:$E$3000,'DATA INPUT'!$B$3:$B$3000,'Report Tables'!AR$1,'DATA INPUT'!$A$3:$A$3000,"&gt;="&amp;DATE(2022,7,1),'DATA INPUT'!$A$3:$A$3000,"&lt;"&amp;DATE(2022,7,31),'DATA INPUT'!$F$3:$F$3000,"&lt;&gt;*Exclude*"))/(COUNTIFS('DATA INPUT'!$B$3:$B$3000,'Report Tables'!AR$1,'DATA INPUT'!$A$3:$A$3000,"&gt;="&amp;DATE(2022,7,1),'DATA INPUT'!$A$3:$A$3000,"&lt;"&amp;DATE(2022,7,31),'DATA INPUT'!$F$3:$F$3000,"&lt;&gt;*Exclude*")),#N/A))</f>
        <v>#N/A</v>
      </c>
      <c r="AS69" s="117" t="e">
        <f>IF($L$2="Yes",IFERROR((SUMIFS('DATA INPUT'!$E$3:$E$3000,'DATA INPUT'!$B$3:$B$3000,'Report Tables'!AS$1,'DATA INPUT'!$A$3:$A$3000,"&gt;="&amp;DATE(2022,7,1),'DATA INPUT'!$A$3:$A$3000,"&lt;"&amp;DATE(2022,7,31)))/COUNTIFS('DATA INPUT'!$B$3:$B$3000,'Report Tables'!AS$1,'DATA INPUT'!$A$3:$A$3000,"&gt;="&amp;DATE(2022,7,1),'DATA INPUT'!$A$3:$A$3000,"&lt;"&amp;DATE(2022,7,31)),#N/A),IFERROR((SUMIFS('DATA INPUT'!$E$3:$E$3000,'DATA INPUT'!$B$3:$B$3000,'Report Tables'!AS$1,'DATA INPUT'!$A$3:$A$3000,"&gt;="&amp;DATE(2022,7,1),'DATA INPUT'!$A$3:$A$3000,"&lt;"&amp;DATE(2022,7,31),'DATA INPUT'!$F$3:$F$3000,"&lt;&gt;*Exclude*"))/(COUNTIFS('DATA INPUT'!$B$3:$B$3000,'Report Tables'!AS$1,'DATA INPUT'!$A$3:$A$3000,"&gt;="&amp;DATE(2022,7,1),'DATA INPUT'!$A$3:$A$3000,"&lt;"&amp;DATE(2022,7,31),'DATA INPUT'!$F$3:$F$3000,"&lt;&gt;*Exclude*")),#N/A))</f>
        <v>#N/A</v>
      </c>
      <c r="AT69" s="117" t="e">
        <f>IF($L$2="Yes",IFERROR((SUMIFS('DATA INPUT'!$E$3:$E$3000,'DATA INPUT'!$B$3:$B$3000,'Report Tables'!AT$1,'DATA INPUT'!$A$3:$A$3000,"&gt;="&amp;DATE(2022,7,1),'DATA INPUT'!$A$3:$A$3000,"&lt;"&amp;DATE(2022,7,31)))/COUNTIFS('DATA INPUT'!$B$3:$B$3000,'Report Tables'!AT$1,'DATA INPUT'!$A$3:$A$3000,"&gt;="&amp;DATE(2022,7,1),'DATA INPUT'!$A$3:$A$3000,"&lt;"&amp;DATE(2022,7,31)),#N/A),IFERROR((SUMIFS('DATA INPUT'!$E$3:$E$3000,'DATA INPUT'!$B$3:$B$3000,'Report Tables'!AT$1,'DATA INPUT'!$A$3:$A$3000,"&gt;="&amp;DATE(2022,7,1),'DATA INPUT'!$A$3:$A$3000,"&lt;"&amp;DATE(2022,7,31),'DATA INPUT'!$F$3:$F$3000,"&lt;&gt;*Exclude*"))/(COUNTIFS('DATA INPUT'!$B$3:$B$3000,'Report Tables'!AT$1,'DATA INPUT'!$A$3:$A$3000,"&gt;="&amp;DATE(2022,7,1),'DATA INPUT'!$A$3:$A$3000,"&lt;"&amp;DATE(2022,7,31),'DATA INPUT'!$F$3:$F$3000,"&lt;&gt;*Exclude*")),#N/A))</f>
        <v>#N/A</v>
      </c>
      <c r="AU69" s="117" t="e">
        <f t="shared" si="24"/>
        <v>#N/A</v>
      </c>
      <c r="AV69" s="117" t="e">
        <f>IF($L$2="Yes",IFERROR((SUMIFS('DATA INPUT'!$D$3:$D$3000,'DATA INPUT'!$A$3:$A$3000,"&gt;="&amp;DATE(2022,7,1),'DATA INPUT'!$A$3:$A$3000,"&lt;"&amp;DATE(2022,7,31),'DATA INPUT'!$G$3:$G$3000,"&lt;&gt;*School service*"))/COUNTIFS('DATA INPUT'!$A$3:$A$3000,"&gt;="&amp;DATE(2022,7,1),'DATA INPUT'!$A$3:$A$3000,"&lt;"&amp;DATE(2022,7,31),'DATA INPUT'!$G$3:$G$3000,"&lt;&gt;*School service*",'DATA INPUT'!$D$3:$D$3000,"&lt;&gt;"&amp;""),#N/A),IFERROR((SUMIFS('DATA INPUT'!$D$3:$D$3000,'DATA INPUT'!$A$3:$A$3000,"&gt;="&amp;DATE(2022,7,1),'DATA INPUT'!$A$3:$A$3000,"&lt;"&amp;DATE(2022,7,31),'DATA INPUT'!$F$3:$F$3000,"&lt;&gt;*Exclude*",'DATA INPUT'!$G$3:$G$3000,"&lt;&gt;*School service*"))/(COUNTIFS('DATA INPUT'!$A$3:$A$3000,"&gt;="&amp;DATE(2022,7,1),'DATA INPUT'!$A$3:$A$3000,"&lt;"&amp;DATE(2022,7,31),'DATA INPUT'!$F$3:$F$3000,"&lt;&gt;*Exclude*",'DATA INPUT'!$G$3:$G$3000,"&lt;&gt;*School service*",'DATA INPUT'!$D$3:$D$3000,"&lt;&gt;"&amp;"")),#N/A))</f>
        <v>#N/A</v>
      </c>
      <c r="AW69" s="117" t="e">
        <f t="shared" si="25"/>
        <v>#N/A</v>
      </c>
      <c r="AX69" s="117" t="e">
        <f>IF($L$2="Yes",IFERROR((SUMIFS('DATA INPUT'!$E$3:$E$3000,'DATA INPUT'!$B$3:$B$3000,'Report Tables'!AX$1,'DATA INPUT'!$A$3:$A$3000,"&gt;="&amp;DATE(2022,7,1),'DATA INPUT'!$A$3:$A$3000,"&lt;"&amp;DATE(2022,7,31)))/COUNTIFS('DATA INPUT'!$B$3:$B$3000,'Report Tables'!AX$1,'DATA INPUT'!$A$3:$A$3000,"&gt;="&amp;DATE(2022,7,1),'DATA INPUT'!$A$3:$A$3000,"&lt;"&amp;DATE(2022,7,31)),#N/A),IFERROR((SUMIFS('DATA INPUT'!$E$3:$E$3000,'DATA INPUT'!$B$3:$B$3000,'Report Tables'!AX$1,'DATA INPUT'!$A$3:$A$3000,"&gt;="&amp;DATE(2022,7,1),'DATA INPUT'!$A$3:$A$3000,"&lt;"&amp;DATE(2022,7,31),'DATA INPUT'!$F$3:$F$3000,"&lt;&gt;*Exclude*"))/(COUNTIFS('DATA INPUT'!$B$3:$B$3000,'Report Tables'!AX$1,'DATA INPUT'!$A$3:$A$3000,"&gt;="&amp;DATE(2022,7,1),'DATA INPUT'!$A$3:$A$3000,"&lt;"&amp;DATE(2022,7,31),'DATA INPUT'!$F$3:$F$3000,"&lt;&gt;*Exclude*")),#N/A))</f>
        <v>#N/A</v>
      </c>
      <c r="AY69" s="117" t="e">
        <f>IF($L$2="Yes",IFERROR((SUMIFS('DATA INPUT'!$D$3:$D$3000,'DATA INPUT'!$B$3:$B$3000,'Report Tables'!AX$1,'DATA INPUT'!$A$3:$A$3000,"&gt;="&amp;DATE(2022,7,1),'DATA INPUT'!$A$3:$A$3000,"&lt;"&amp;DATE(2022,7,31)))/COUNTIFS('DATA INPUT'!$B$3:$B$3000,'Report Tables'!AX$1,'DATA INPUT'!$A$3:$A$3000,"&gt;="&amp;DATE(2022,7,1),'DATA INPUT'!$A$3:$A$3000,"&lt;"&amp;DATE(2022,7,31)),#N/A),IFERROR((SUMIFS('DATA INPUT'!$D$3:$D$3000,'DATA INPUT'!$B$3:$B$3000,'Report Tables'!AX$1,'DATA INPUT'!$A$3:$A$3000,"&gt;="&amp;DATE(2022,7,1),'DATA INPUT'!$A$3:$A$3000,"&lt;"&amp;DATE(2022,7,31),'DATA INPUT'!$F$3:$F$3000,"&lt;&gt;*Exclude*"))/(COUNTIFS('DATA INPUT'!$B$3:$B$3000,'Report Tables'!AX$1,'DATA INPUT'!$A$3:$A$3000,"&gt;="&amp;DATE(2022,7,1),'DATA INPUT'!$A$3:$A$3000,"&lt;"&amp;DATE(2022,7,31),'DATA INPUT'!$F$3:$F$3000,"&lt;&gt;*Exclude*")),#N/A))</f>
        <v>#N/A</v>
      </c>
      <c r="AZ69" s="117" t="e">
        <f>IF($L$2="Yes",IFERROR((SUMIFS('DATA INPUT'!$C$3:$C$3000,'DATA INPUT'!$B$3:$B$3000,'Report Tables'!AX$1,'DATA INPUT'!$A$3:$A$3000,"&gt;="&amp;DATE(2022,7,1),'DATA INPUT'!$A$3:$A$3000,"&lt;"&amp;DATE(2022,7,31)))/COUNTIFS('DATA INPUT'!$B$3:$B$3000,'Report Tables'!AX$1,'DATA INPUT'!$A$3:$A$3000,"&gt;="&amp;DATE(2022,7,1),'DATA INPUT'!$A$3:$A$3000,"&lt;"&amp;DATE(2022,7,31)),#N/A),IFERROR((SUMIFS('DATA INPUT'!$C$3:$C$3000,'DATA INPUT'!$B$3:$B$3000,'Report Tables'!AX$1,'DATA INPUT'!$A$3:$A$3000,"&gt;="&amp;DATE(2022,7,1),'DATA INPUT'!$A$3:$A$3000,"&lt;"&amp;DATE(2022,7,31),'DATA INPUT'!$F$3:$F$3000,"&lt;&gt;*Exclude*"))/(COUNTIFS('DATA INPUT'!$B$3:$B$3000,'Report Tables'!AX$1,'DATA INPUT'!$A$3:$A$3000,"&gt;="&amp;DATE(2022,7,1),'DATA INPUT'!$A$3:$A$3000,"&lt;"&amp;DATE(2022,7,31),'DATA INPUT'!$F$3:$F$3000,"&lt;&gt;*Exclude*")),#N/A))</f>
        <v>#N/A</v>
      </c>
    </row>
    <row r="70" spans="25:52" x14ac:dyDescent="0.3">
      <c r="Y70" s="149"/>
      <c r="Z70" s="149" t="s">
        <v>19</v>
      </c>
      <c r="AA70" s="136" t="e">
        <f>IF($L$2="Yes",IF(SUMIFS('DATA INPUT'!$E$3:$E$3000,'DATA INPUT'!$B$3:$B$3000,'Report Tables'!AA$1,'DATA INPUT'!$A$3:$A$3000,"&gt;="&amp;DATE(2022,8,1),'DATA INPUT'!$A$3:$A$3000,"&lt;"&amp;DATE(2022,8,31))=0,#N/A,(SUMIFS('DATA INPUT'!$E$3:$E$3000,'DATA INPUT'!$B$3:$B$3000,'Report Tables'!AA$1,'DATA INPUT'!$A$3:$A$3000,"&gt;="&amp;DATE(2022,8,1),'DATA INPUT'!$A$3:$A$3000,"&lt;"&amp;DATE(2022,8,31)))),IF(SUMIFS('DATA INPUT'!$E$3:$E$3000,'DATA INPUT'!$B$3:$B$3000,'Report Tables'!AA$1,'DATA INPUT'!$A$3:$A$3000,"&gt;="&amp;DATE(2022,8,1),'DATA INPUT'!$A$3:$A$3000,"&lt;"&amp;DATE(2022,8,31),'DATA INPUT'!$F$3:$F$3000,"&lt;&gt;*Exclude*")=0,#N/A,(SUMIFS('DATA INPUT'!$E$3:$E$3000,'DATA INPUT'!$B$3:$B$3000,'Report Tables'!AA$1,'DATA INPUT'!$A$3:$A$3000,"&gt;="&amp;DATE(2022,8,1),'DATA INPUT'!$A$3:$A$3000,"&lt;"&amp;DATE(2022,8,31),'DATA INPUT'!$F$3:$F$3000,"&lt;&gt;*Exclude*"))))</f>
        <v>#N/A</v>
      </c>
      <c r="AB70" s="136" t="e">
        <f>IF($L$2="Yes",IF(SUMIFS('DATA INPUT'!$E$3:$E$3000,'DATA INPUT'!$B$3:$B$3000,'Report Tables'!AB$1,'DATA INPUT'!$A$3:$A$3000,"&gt;="&amp;DATE(2022,8,1),'DATA INPUT'!$A$3:$A$3000,"&lt;"&amp;DATE(2022,8,31))=0,#N/A,(SUMIFS('DATA INPUT'!$E$3:$E$3000,'DATA INPUT'!$B$3:$B$3000,'Report Tables'!AB$1,'DATA INPUT'!$A$3:$A$3000,"&gt;="&amp;DATE(2022,8,1),'DATA INPUT'!$A$3:$A$3000,"&lt;"&amp;DATE(2022,8,31)))),IF(SUMIFS('DATA INPUT'!$E$3:$E$3000,'DATA INPUT'!$B$3:$B$3000,'Report Tables'!AB$1,'DATA INPUT'!$A$3:$A$3000,"&gt;="&amp;DATE(2022,8,1),'DATA INPUT'!$A$3:$A$3000,"&lt;"&amp;DATE(2022,8,31),'DATA INPUT'!$F$3:$F$3000,"&lt;&gt;*Exclude*")=0,#N/A,(SUMIFS('DATA INPUT'!$E$3:$E$3000,'DATA INPUT'!$B$3:$B$3000,'Report Tables'!AB$1,'DATA INPUT'!$A$3:$A$3000,"&gt;="&amp;DATE(2022,8,1),'DATA INPUT'!$A$3:$A$3000,"&lt;"&amp;DATE(2022,8,31),'DATA INPUT'!$F$3:$F$3000,"&lt;&gt;*Exclude*"))))</f>
        <v>#N/A</v>
      </c>
      <c r="AC70" s="136" t="e">
        <f>IF($L$2="Yes",IF(SUMIFS('DATA INPUT'!$E$3:$E$3000,'DATA INPUT'!$B$3:$B$3000,'Report Tables'!AC$1,'DATA INPUT'!$A$3:$A$3000,"&gt;="&amp;DATE(2022,8,1),'DATA INPUT'!$A$3:$A$3000,"&lt;"&amp;DATE(2022,8,31))=0,#N/A,(SUMIFS('DATA INPUT'!$E$3:$E$3000,'DATA INPUT'!$B$3:$B$3000,'Report Tables'!AC$1,'DATA INPUT'!$A$3:$A$3000,"&gt;="&amp;DATE(2022,8,1),'DATA INPUT'!$A$3:$A$3000,"&lt;"&amp;DATE(2022,8,31)))),IF(SUMIFS('DATA INPUT'!$E$3:$E$3000,'DATA INPUT'!$B$3:$B$3000,'Report Tables'!AC$1,'DATA INPUT'!$A$3:$A$3000,"&gt;="&amp;DATE(2022,8,1),'DATA INPUT'!$A$3:$A$3000,"&lt;"&amp;DATE(2022,8,31),'DATA INPUT'!$F$3:$F$3000,"&lt;&gt;*Exclude*")=0,#N/A,(SUMIFS('DATA INPUT'!$E$3:$E$3000,'DATA INPUT'!$B$3:$B$3000,'Report Tables'!AC$1,'DATA INPUT'!$A$3:$A$3000,"&gt;="&amp;DATE(2022,8,1),'DATA INPUT'!$A$3:$A$3000,"&lt;"&amp;DATE(2022,8,31),'DATA INPUT'!$F$3:$F$3000,"&lt;&gt;*Exclude*"))))</f>
        <v>#N/A</v>
      </c>
      <c r="AD70" s="136" t="e">
        <f>IF($L$2="Yes",IF(SUMIFS('DATA INPUT'!$E$3:$E$3000,'DATA INPUT'!$B$3:$B$3000,'Report Tables'!AD$1,'DATA INPUT'!$A$3:$A$3000,"&gt;="&amp;DATE(2022,8,1),'DATA INPUT'!$A$3:$A$3000,"&lt;"&amp;DATE(2022,8,31))=0,#N/A,(SUMIFS('DATA INPUT'!$E$3:$E$3000,'DATA INPUT'!$B$3:$B$3000,'Report Tables'!AD$1,'DATA INPUT'!$A$3:$A$3000,"&gt;="&amp;DATE(2022,8,1),'DATA INPUT'!$A$3:$A$3000,"&lt;"&amp;DATE(2022,8,31)))),IF(SUMIFS('DATA INPUT'!$E$3:$E$3000,'DATA INPUT'!$B$3:$B$3000,'Report Tables'!AD$1,'DATA INPUT'!$A$3:$A$3000,"&gt;="&amp;DATE(2022,8,1),'DATA INPUT'!$A$3:$A$3000,"&lt;"&amp;DATE(2022,8,31),'DATA INPUT'!$F$3:$F$3000,"&lt;&gt;*Exclude*")=0,#N/A,(SUMIFS('DATA INPUT'!$E$3:$E$3000,'DATA INPUT'!$B$3:$B$3000,'Report Tables'!AD$1,'DATA INPUT'!$A$3:$A$3000,"&gt;="&amp;DATE(2022,8,1),'DATA INPUT'!$A$3:$A$3000,"&lt;"&amp;DATE(2022,8,31),'DATA INPUT'!$F$3:$F$3000,"&lt;&gt;*Exclude*"))))</f>
        <v>#N/A</v>
      </c>
      <c r="AE70" s="136" t="e">
        <f>IF($L$2="Yes",IF(SUMIFS('DATA INPUT'!$E$3:$E$3000,'DATA INPUT'!$B$3:$B$3000,'Report Tables'!AE$1,'DATA INPUT'!$A$3:$A$3000,"&gt;="&amp;DATE(2022,8,1),'DATA INPUT'!$A$3:$A$3000,"&lt;"&amp;DATE(2022,8,31))=0,#N/A,(SUMIFS('DATA INPUT'!$E$3:$E$3000,'DATA INPUT'!$B$3:$B$3000,'Report Tables'!AE$1,'DATA INPUT'!$A$3:$A$3000,"&gt;="&amp;DATE(2022,8,1),'DATA INPUT'!$A$3:$A$3000,"&lt;"&amp;DATE(2022,8,31)))),IF(SUMIFS('DATA INPUT'!$E$3:$E$3000,'DATA INPUT'!$B$3:$B$3000,'Report Tables'!AE$1,'DATA INPUT'!$A$3:$A$3000,"&gt;="&amp;DATE(2022,8,1),'DATA INPUT'!$A$3:$A$3000,"&lt;"&amp;DATE(2022,8,31),'DATA INPUT'!$F$3:$F$3000,"&lt;&gt;*Exclude*")=0,#N/A,(SUMIFS('DATA INPUT'!$E$3:$E$3000,'DATA INPUT'!$B$3:$B$3000,'Report Tables'!AE$1,'DATA INPUT'!$A$3:$A$3000,"&gt;="&amp;DATE(2022,8,1),'DATA INPUT'!$A$3:$A$3000,"&lt;"&amp;DATE(2022,8,31),'DATA INPUT'!$F$3:$F$3000,"&lt;&gt;*Exclude*"))))</f>
        <v>#N/A</v>
      </c>
      <c r="AF70" s="136" t="e">
        <f>IF($L$2="Yes",IF(SUMIFS('DATA INPUT'!$E$3:$E$3000,'DATA INPUT'!$B$3:$B$3000,'Report Tables'!AF$1,'DATA INPUT'!$A$3:$A$3000,"&gt;="&amp;DATE(2022,8,1),'DATA INPUT'!$A$3:$A$3000,"&lt;"&amp;DATE(2022,8,31))=0,#N/A,(SUMIFS('DATA INPUT'!$E$3:$E$3000,'DATA INPUT'!$B$3:$B$3000,'Report Tables'!AF$1,'DATA INPUT'!$A$3:$A$3000,"&gt;="&amp;DATE(2022,8,1),'DATA INPUT'!$A$3:$A$3000,"&lt;"&amp;DATE(2022,8,31)))),IF(SUMIFS('DATA INPUT'!$E$3:$E$3000,'DATA INPUT'!$B$3:$B$3000,'Report Tables'!AF$1,'DATA INPUT'!$A$3:$A$3000,"&gt;="&amp;DATE(2022,8,1),'DATA INPUT'!$A$3:$A$3000,"&lt;"&amp;DATE(2022,8,31),'DATA INPUT'!$F$3:$F$3000,"&lt;&gt;*Exclude*")=0,#N/A,(SUMIFS('DATA INPUT'!$E$3:$E$3000,'DATA INPUT'!$B$3:$B$3000,'Report Tables'!AF$1,'DATA INPUT'!$A$3:$A$3000,"&gt;="&amp;DATE(2022,8,1),'DATA INPUT'!$A$3:$A$3000,"&lt;"&amp;DATE(2022,8,31),'DATA INPUT'!$F$3:$F$3000,"&lt;&gt;*Exclude*"))))</f>
        <v>#N/A</v>
      </c>
      <c r="AG70" s="136" t="e">
        <f>IF($L$2="Yes",IF(SUMIFS('DATA INPUT'!$E$3:$E$3000,'DATA INPUT'!$B$3:$B$3000,'Report Tables'!AG$1,'DATA INPUT'!$A$3:$A$3000,"&gt;="&amp;DATE(2022,8,1),'DATA INPUT'!$A$3:$A$3000,"&lt;"&amp;DATE(2022,8,31))=0,#N/A,(SUMIFS('DATA INPUT'!$E$3:$E$3000,'DATA INPUT'!$B$3:$B$3000,'Report Tables'!AG$1,'DATA INPUT'!$A$3:$A$3000,"&gt;="&amp;DATE(2022,8,1),'DATA INPUT'!$A$3:$A$3000,"&lt;"&amp;DATE(2022,8,31)))),IF(SUMIFS('DATA INPUT'!$E$3:$E$3000,'DATA INPUT'!$B$3:$B$3000,'Report Tables'!AG$1,'DATA INPUT'!$A$3:$A$3000,"&gt;="&amp;DATE(2022,8,1),'DATA INPUT'!$A$3:$A$3000,"&lt;"&amp;DATE(2022,8,31),'DATA INPUT'!$F$3:$F$3000,"&lt;&gt;*Exclude*")=0,#N/A,(SUMIFS('DATA INPUT'!$E$3:$E$3000,'DATA INPUT'!$B$3:$B$3000,'Report Tables'!AG$1,'DATA INPUT'!$A$3:$A$3000,"&gt;="&amp;DATE(2022,8,1),'DATA INPUT'!$A$3:$A$3000,"&lt;"&amp;DATE(2022,8,31),'DATA INPUT'!$F$3:$F$3000,"&lt;&gt;*Exclude*"))))</f>
        <v>#N/A</v>
      </c>
      <c r="AH70" s="136" t="e">
        <f>IF($L$2="Yes",IF(SUMIFS('DATA INPUT'!$E$3:$E$3000,'DATA INPUT'!$B$3:$B$3000,'Report Tables'!AH$1,'DATA INPUT'!$A$3:$A$3000,"&gt;="&amp;DATE(2022,8,1),'DATA INPUT'!$A$3:$A$3000,"&lt;"&amp;DATE(2022,8,31))=0,#N/A,(SUMIFS('DATA INPUT'!$E$3:$E$3000,'DATA INPUT'!$B$3:$B$3000,'Report Tables'!AH$1,'DATA INPUT'!$A$3:$A$3000,"&gt;="&amp;DATE(2022,8,1),'DATA INPUT'!$A$3:$A$3000,"&lt;"&amp;DATE(2022,8,31)))),IF(SUMIFS('DATA INPUT'!$E$3:$E$3000,'DATA INPUT'!$B$3:$B$3000,'Report Tables'!AH$1,'DATA INPUT'!$A$3:$A$3000,"&gt;="&amp;DATE(2022,8,1),'DATA INPUT'!$A$3:$A$3000,"&lt;"&amp;DATE(2022,8,31),'DATA INPUT'!$F$3:$F$3000,"&lt;&gt;*Exclude*")=0,#N/A,(SUMIFS('DATA INPUT'!$E$3:$E$3000,'DATA INPUT'!$B$3:$B$3000,'Report Tables'!AH$1,'DATA INPUT'!$A$3:$A$3000,"&gt;="&amp;DATE(2022,8,1),'DATA INPUT'!$A$3:$A$3000,"&lt;"&amp;DATE(2022,8,31),'DATA INPUT'!$F$3:$F$3000,"&lt;&gt;*Exclude*"))))</f>
        <v>#N/A</v>
      </c>
      <c r="AI70" s="136" t="e">
        <f t="shared" si="23"/>
        <v>#N/A</v>
      </c>
      <c r="AJ70" s="136" t="e">
        <f>IF($L$2="Yes",IF(SUMIFS('DATA INPUT'!$D$3:$D$3000,'DATA INPUT'!$A$3:$A$3000,"&gt;="&amp;DATE(2022,8,1),'DATA INPUT'!$A$3:$A$3000,"&lt;"&amp;DATE(2022,8,31),'DATA INPUT'!$G$3:$G$3000,"&lt;&gt;*School service*")=0,#N/A,(SUMIFS('DATA INPUT'!$D$3:$D$3000,'DATA INPUT'!$A$3:$A$3000,"&gt;="&amp;DATE(2022,8,1),'DATA INPUT'!$A$3:$A$3000,"&lt;"&amp;DATE(2022,8,31),'DATA INPUT'!$G$3:$G$3000,"&lt;&gt;*School service*"))),IF(SUMIFS('DATA INPUT'!$D$3:$D$3000,'DATA INPUT'!$A$3:$A$3000,"&gt;="&amp;DATE(2022,8,1),'DATA INPUT'!$A$3:$A$3000,"&lt;"&amp;DATE(2022,8,31),'DATA INPUT'!$F$3:$F$3000,"&lt;&gt;*Exclude*",'DATA INPUT'!$G$3:$G$3000,"&lt;&gt;*School service*")=0,#N/A,(SUMIFS('DATA INPUT'!$D$3:$D$3000,'DATA INPUT'!$A$3:$A$3000,"&gt;="&amp;DATE(2022,8,1),'DATA INPUT'!$A$3:$A$3000,"&lt;"&amp;DATE(2022,8,31),'DATA INPUT'!$F$3:$F$3000,"&lt;&gt;*Exclude*",'DATA INPUT'!$G$3:$G$3000,"&lt;&gt;*School service*"))))</f>
        <v>#N/A</v>
      </c>
      <c r="AK70" s="136" t="e">
        <f>AI70-AJ70</f>
        <v>#N/A</v>
      </c>
      <c r="AM70" s="117" t="e">
        <f>IF($L$2="Yes",IFERROR((SUMIFS('DATA INPUT'!$E$3:$E$3000,'DATA INPUT'!$B$3:$B$3000,'Report Tables'!AM$1,'DATA INPUT'!$A$3:$A$3000,"&gt;="&amp;DATE(2022,8,1),'DATA INPUT'!$A$3:$A$3000,"&lt;"&amp;DATE(2022,8,31)))/COUNTIFS('DATA INPUT'!$B$3:$B$3000,'Report Tables'!AM$1,'DATA INPUT'!$A$3:$A$3000,"&gt;="&amp;DATE(2022,8,1),'DATA INPUT'!$A$3:$A$3000,"&lt;"&amp;DATE(2022,8,31)),#N/A),IFERROR((SUMIFS('DATA INPUT'!$E$3:$E$3000,'DATA INPUT'!$B$3:$B$3000,'Report Tables'!AM$1,'DATA INPUT'!$A$3:$A$3000,"&gt;="&amp;DATE(2022,8,1),'DATA INPUT'!$A$3:$A$3000,"&lt;"&amp;DATE(2022,8,31),'DATA INPUT'!$F$3:$F$3000,"&lt;&gt;*Exclude*"))/(COUNTIFS('DATA INPUT'!$B$3:$B$3000,'Report Tables'!AM$1,'DATA INPUT'!$A$3:$A$3000,"&gt;="&amp;DATE(2022,8,1),'DATA INPUT'!$A$3:$A$3000,"&lt;"&amp;DATE(2022,8,31),'DATA INPUT'!$F$3:$F$3000,"&lt;&gt;*Exclude*")),#N/A))</f>
        <v>#N/A</v>
      </c>
      <c r="AN70" s="117" t="e">
        <f>IF($L$2="Yes",IFERROR((SUMIFS('DATA INPUT'!$E$3:$E$3000,'DATA INPUT'!$B$3:$B$3000,'Report Tables'!AN$1,'DATA INPUT'!$A$3:$A$3000,"&gt;="&amp;DATE(2022,8,1),'DATA INPUT'!$A$3:$A$3000,"&lt;"&amp;DATE(2022,8,31)))/COUNTIFS('DATA INPUT'!$B$3:$B$3000,'Report Tables'!AN$1,'DATA INPUT'!$A$3:$A$3000,"&gt;="&amp;DATE(2022,8,1),'DATA INPUT'!$A$3:$A$3000,"&lt;"&amp;DATE(2022,8,31)),#N/A),IFERROR((SUMIFS('DATA INPUT'!$E$3:$E$3000,'DATA INPUT'!$B$3:$B$3000,'Report Tables'!AN$1,'DATA INPUT'!$A$3:$A$3000,"&gt;="&amp;DATE(2022,8,1),'DATA INPUT'!$A$3:$A$3000,"&lt;"&amp;DATE(2022,8,31),'DATA INPUT'!$F$3:$F$3000,"&lt;&gt;*Exclude*"))/(COUNTIFS('DATA INPUT'!$B$3:$B$3000,'Report Tables'!AN$1,'DATA INPUT'!$A$3:$A$3000,"&gt;="&amp;DATE(2022,8,1),'DATA INPUT'!$A$3:$A$3000,"&lt;"&amp;DATE(2022,8,31),'DATA INPUT'!$F$3:$F$3000,"&lt;&gt;*Exclude*")),#N/A))</f>
        <v>#N/A</v>
      </c>
      <c r="AO70" s="117" t="e">
        <f>IF($L$2="Yes",IFERROR((SUMIFS('DATA INPUT'!$E$3:$E$3000,'DATA INPUT'!$B$3:$B$3000,'Report Tables'!AO$1,'DATA INPUT'!$A$3:$A$3000,"&gt;="&amp;DATE(2022,8,1),'DATA INPUT'!$A$3:$A$3000,"&lt;"&amp;DATE(2022,8,31)))/COUNTIFS('DATA INPUT'!$B$3:$B$3000,'Report Tables'!AO$1,'DATA INPUT'!$A$3:$A$3000,"&gt;="&amp;DATE(2022,8,1),'DATA INPUT'!$A$3:$A$3000,"&lt;"&amp;DATE(2022,8,31)),#N/A),IFERROR((SUMIFS('DATA INPUT'!$E$3:$E$3000,'DATA INPUT'!$B$3:$B$3000,'Report Tables'!AO$1,'DATA INPUT'!$A$3:$A$3000,"&gt;="&amp;DATE(2022,8,1),'DATA INPUT'!$A$3:$A$3000,"&lt;"&amp;DATE(2022,8,31),'DATA INPUT'!$F$3:$F$3000,"&lt;&gt;*Exclude*"))/(COUNTIFS('DATA INPUT'!$B$3:$B$3000,'Report Tables'!AO$1,'DATA INPUT'!$A$3:$A$3000,"&gt;="&amp;DATE(2022,8,1),'DATA INPUT'!$A$3:$A$3000,"&lt;"&amp;DATE(2022,8,31),'DATA INPUT'!$F$3:$F$3000,"&lt;&gt;*Exclude*")),#N/A))</f>
        <v>#N/A</v>
      </c>
      <c r="AP70" s="117" t="e">
        <f>IF($L$2="Yes",IFERROR((SUMIFS('DATA INPUT'!$E$3:$E$3000,'DATA INPUT'!$B$3:$B$3000,'Report Tables'!AP$1,'DATA INPUT'!$A$3:$A$3000,"&gt;="&amp;DATE(2022,8,1),'DATA INPUT'!$A$3:$A$3000,"&lt;"&amp;DATE(2022,8,31)))/COUNTIFS('DATA INPUT'!$B$3:$B$3000,'Report Tables'!AP$1,'DATA INPUT'!$A$3:$A$3000,"&gt;="&amp;DATE(2022,8,1),'DATA INPUT'!$A$3:$A$3000,"&lt;"&amp;DATE(2022,8,31)),#N/A),IFERROR((SUMIFS('DATA INPUT'!$E$3:$E$3000,'DATA INPUT'!$B$3:$B$3000,'Report Tables'!AP$1,'DATA INPUT'!$A$3:$A$3000,"&gt;="&amp;DATE(2022,8,1),'DATA INPUT'!$A$3:$A$3000,"&lt;"&amp;DATE(2022,8,31),'DATA INPUT'!$F$3:$F$3000,"&lt;&gt;*Exclude*"))/(COUNTIFS('DATA INPUT'!$B$3:$B$3000,'Report Tables'!AP$1,'DATA INPUT'!$A$3:$A$3000,"&gt;="&amp;DATE(2022,8,1),'DATA INPUT'!$A$3:$A$3000,"&lt;"&amp;DATE(2022,8,31),'DATA INPUT'!$F$3:$F$3000,"&lt;&gt;*Exclude*")),#N/A))</f>
        <v>#N/A</v>
      </c>
      <c r="AQ70" s="117" t="e">
        <f>IF($L$2="Yes",IFERROR((SUMIFS('DATA INPUT'!$E$3:$E$3000,'DATA INPUT'!$B$3:$B$3000,'Report Tables'!AQ$1,'DATA INPUT'!$A$3:$A$3000,"&gt;="&amp;DATE(2022,8,1),'DATA INPUT'!$A$3:$A$3000,"&lt;"&amp;DATE(2022,8,31)))/COUNTIFS('DATA INPUT'!$B$3:$B$3000,'Report Tables'!AQ$1,'DATA INPUT'!$A$3:$A$3000,"&gt;="&amp;DATE(2022,8,1),'DATA INPUT'!$A$3:$A$3000,"&lt;"&amp;DATE(2022,8,31)),#N/A),IFERROR((SUMIFS('DATA INPUT'!$E$3:$E$3000,'DATA INPUT'!$B$3:$B$3000,'Report Tables'!AQ$1,'DATA INPUT'!$A$3:$A$3000,"&gt;="&amp;DATE(2022,8,1),'DATA INPUT'!$A$3:$A$3000,"&lt;"&amp;DATE(2022,8,31),'DATA INPUT'!$F$3:$F$3000,"&lt;&gt;*Exclude*"))/(COUNTIFS('DATA INPUT'!$B$3:$B$3000,'Report Tables'!AQ$1,'DATA INPUT'!$A$3:$A$3000,"&gt;="&amp;DATE(2022,8,1),'DATA INPUT'!$A$3:$A$3000,"&lt;"&amp;DATE(2022,8,31),'DATA INPUT'!$F$3:$F$3000,"&lt;&gt;*Exclude*")),#N/A))</f>
        <v>#N/A</v>
      </c>
      <c r="AR70" s="117" t="e">
        <f>IF($L$2="Yes",IFERROR((SUMIFS('DATA INPUT'!$E$3:$E$3000,'DATA INPUT'!$B$3:$B$3000,'Report Tables'!AR$1,'DATA INPUT'!$A$3:$A$3000,"&gt;="&amp;DATE(2022,8,1),'DATA INPUT'!$A$3:$A$3000,"&lt;"&amp;DATE(2022,8,31)))/COUNTIFS('DATA INPUT'!$B$3:$B$3000,'Report Tables'!AR$1,'DATA INPUT'!$A$3:$A$3000,"&gt;="&amp;DATE(2022,8,1),'DATA INPUT'!$A$3:$A$3000,"&lt;"&amp;DATE(2022,8,31)),#N/A),IFERROR((SUMIFS('DATA INPUT'!$E$3:$E$3000,'DATA INPUT'!$B$3:$B$3000,'Report Tables'!AR$1,'DATA INPUT'!$A$3:$A$3000,"&gt;="&amp;DATE(2022,8,1),'DATA INPUT'!$A$3:$A$3000,"&lt;"&amp;DATE(2022,8,31),'DATA INPUT'!$F$3:$F$3000,"&lt;&gt;*Exclude*"))/(COUNTIFS('DATA INPUT'!$B$3:$B$3000,'Report Tables'!AR$1,'DATA INPUT'!$A$3:$A$3000,"&gt;="&amp;DATE(2022,8,1),'DATA INPUT'!$A$3:$A$3000,"&lt;"&amp;DATE(2022,8,31),'DATA INPUT'!$F$3:$F$3000,"&lt;&gt;*Exclude*")),#N/A))</f>
        <v>#N/A</v>
      </c>
      <c r="AS70" s="117" t="e">
        <f>IF($L$2="Yes",IFERROR((SUMIFS('DATA INPUT'!$E$3:$E$3000,'DATA INPUT'!$B$3:$B$3000,'Report Tables'!AS$1,'DATA INPUT'!$A$3:$A$3000,"&gt;="&amp;DATE(2022,8,1),'DATA INPUT'!$A$3:$A$3000,"&lt;"&amp;DATE(2022,8,31)))/COUNTIFS('DATA INPUT'!$B$3:$B$3000,'Report Tables'!AS$1,'DATA INPUT'!$A$3:$A$3000,"&gt;="&amp;DATE(2022,8,1),'DATA INPUT'!$A$3:$A$3000,"&lt;"&amp;DATE(2022,8,31)),#N/A),IFERROR((SUMIFS('DATA INPUT'!$E$3:$E$3000,'DATA INPUT'!$B$3:$B$3000,'Report Tables'!AS$1,'DATA INPUT'!$A$3:$A$3000,"&gt;="&amp;DATE(2022,8,1),'DATA INPUT'!$A$3:$A$3000,"&lt;"&amp;DATE(2022,8,31),'DATA INPUT'!$F$3:$F$3000,"&lt;&gt;*Exclude*"))/(COUNTIFS('DATA INPUT'!$B$3:$B$3000,'Report Tables'!AS$1,'DATA INPUT'!$A$3:$A$3000,"&gt;="&amp;DATE(2022,8,1),'DATA INPUT'!$A$3:$A$3000,"&lt;"&amp;DATE(2022,8,31),'DATA INPUT'!$F$3:$F$3000,"&lt;&gt;*Exclude*")),#N/A))</f>
        <v>#N/A</v>
      </c>
      <c r="AT70" s="117" t="e">
        <f>IF($L$2="Yes",IFERROR((SUMIFS('DATA INPUT'!$E$3:$E$3000,'DATA INPUT'!$B$3:$B$3000,'Report Tables'!AT$1,'DATA INPUT'!$A$3:$A$3000,"&gt;="&amp;DATE(2022,8,1),'DATA INPUT'!$A$3:$A$3000,"&lt;"&amp;DATE(2022,8,31)))/COUNTIFS('DATA INPUT'!$B$3:$B$3000,'Report Tables'!AT$1,'DATA INPUT'!$A$3:$A$3000,"&gt;="&amp;DATE(2022,8,1),'DATA INPUT'!$A$3:$A$3000,"&lt;"&amp;DATE(2022,8,31)),#N/A),IFERROR((SUMIFS('DATA INPUT'!$E$3:$E$3000,'DATA INPUT'!$B$3:$B$3000,'Report Tables'!AT$1,'DATA INPUT'!$A$3:$A$3000,"&gt;="&amp;DATE(2022,8,1),'DATA INPUT'!$A$3:$A$3000,"&lt;"&amp;DATE(2022,8,31),'DATA INPUT'!$F$3:$F$3000,"&lt;&gt;*Exclude*"))/(COUNTIFS('DATA INPUT'!$B$3:$B$3000,'Report Tables'!AT$1,'DATA INPUT'!$A$3:$A$3000,"&gt;="&amp;DATE(2022,8,1),'DATA INPUT'!$A$3:$A$3000,"&lt;"&amp;DATE(2022,8,31),'DATA INPUT'!$F$3:$F$3000,"&lt;&gt;*Exclude*")),#N/A))</f>
        <v>#N/A</v>
      </c>
      <c r="AU70" s="117" t="e">
        <f t="shared" si="24"/>
        <v>#N/A</v>
      </c>
      <c r="AV70" s="117" t="e">
        <f>IF($L$2="Yes",IFERROR((SUMIFS('DATA INPUT'!$D$3:$D$3000,'DATA INPUT'!$A$3:$A$3000,"&gt;="&amp;DATE(2022,8,1),'DATA INPUT'!$A$3:$A$3000,"&lt;"&amp;DATE(2022,8,31),'DATA INPUT'!$G$3:$G$3000,"&lt;&gt;*School service*"))/COUNTIFS('DATA INPUT'!$A$3:$A$3000,"&gt;="&amp;DATE(2022,8,1),'DATA INPUT'!$A$3:$A$3000,"&lt;"&amp;DATE(2022,8,31),'DATA INPUT'!$G$3:$G$3000,"&lt;&gt;*School service*",'DATA INPUT'!$D$3:$D$3000,"&lt;&gt;"&amp;""),#N/A),IFERROR((SUMIFS('DATA INPUT'!$D$3:$D$3000,'DATA INPUT'!$A$3:$A$3000,"&gt;="&amp;DATE(2022,8,1),'DATA INPUT'!$A$3:$A$3000,"&lt;"&amp;DATE(2022,8,31),'DATA INPUT'!$F$3:$F$3000,"&lt;&gt;*Exclude*",'DATA INPUT'!$G$3:$G$3000,"&lt;&gt;*School service*"))/(COUNTIFS('DATA INPUT'!$A$3:$A$3000,"&gt;="&amp;DATE(2022,8,1),'DATA INPUT'!$A$3:$A$3000,"&lt;"&amp;DATE(2022,8,31),'DATA INPUT'!$F$3:$F$3000,"&lt;&gt;*Exclude*",'DATA INPUT'!$G$3:$G$3000,"&lt;&gt;*School service*",'DATA INPUT'!$D$3:$D$3000,"&lt;&gt;"&amp;"")),#N/A))</f>
        <v>#N/A</v>
      </c>
      <c r="AW70" s="117" t="e">
        <f t="shared" si="25"/>
        <v>#N/A</v>
      </c>
      <c r="AX70" s="117" t="e">
        <f>IF($L$2="Yes",IFERROR((SUMIFS('DATA INPUT'!$E$3:$E$3000,'DATA INPUT'!$B$3:$B$3000,'Report Tables'!AX$1,'DATA INPUT'!$A$3:$A$3000,"&gt;="&amp;DATE(2022,8,1),'DATA INPUT'!$A$3:$A$3000,"&lt;"&amp;DATE(2022,8,31)))/COUNTIFS('DATA INPUT'!$B$3:$B$3000,'Report Tables'!AX$1,'DATA INPUT'!$A$3:$A$3000,"&gt;="&amp;DATE(2022,8,1),'DATA INPUT'!$A$3:$A$3000,"&lt;"&amp;DATE(2022,8,31)),#N/A),IFERROR((SUMIFS('DATA INPUT'!$E$3:$E$3000,'DATA INPUT'!$B$3:$B$3000,'Report Tables'!AX$1,'DATA INPUT'!$A$3:$A$3000,"&gt;="&amp;DATE(2022,8,1),'DATA INPUT'!$A$3:$A$3000,"&lt;"&amp;DATE(2022,8,31),'DATA INPUT'!$F$3:$F$3000,"&lt;&gt;*Exclude*"))/(COUNTIFS('DATA INPUT'!$B$3:$B$3000,'Report Tables'!AX$1,'DATA INPUT'!$A$3:$A$3000,"&gt;="&amp;DATE(2022,8,1),'DATA INPUT'!$A$3:$A$3000,"&lt;"&amp;DATE(2022,8,31),'DATA INPUT'!$F$3:$F$3000,"&lt;&gt;*Exclude*")),#N/A))</f>
        <v>#N/A</v>
      </c>
      <c r="AY70" s="117" t="e">
        <f>IF($L$2="Yes",IFERROR((SUMIFS('DATA INPUT'!$D$3:$D$3000,'DATA INPUT'!$B$3:$B$3000,'Report Tables'!AX$1,'DATA INPUT'!$A$3:$A$3000,"&gt;="&amp;DATE(2022,8,1),'DATA INPUT'!$A$3:$A$3000,"&lt;"&amp;DATE(2022,8,31)))/COUNTIFS('DATA INPUT'!$B$3:$B$3000,'Report Tables'!AX$1,'DATA INPUT'!$A$3:$A$3000,"&gt;="&amp;DATE(2022,8,1),'DATA INPUT'!$A$3:$A$3000,"&lt;"&amp;DATE(2022,8,31)),#N/A),IFERROR((SUMIFS('DATA INPUT'!$D$3:$D$3000,'DATA INPUT'!$B$3:$B$3000,'Report Tables'!AX$1,'DATA INPUT'!$A$3:$A$3000,"&gt;="&amp;DATE(2022,8,1),'DATA INPUT'!$A$3:$A$3000,"&lt;"&amp;DATE(2022,8,31),'DATA INPUT'!$F$3:$F$3000,"&lt;&gt;*Exclude*"))/(COUNTIFS('DATA INPUT'!$B$3:$B$3000,'Report Tables'!AX$1,'DATA INPUT'!$A$3:$A$3000,"&gt;="&amp;DATE(2022,8,1),'DATA INPUT'!$A$3:$A$3000,"&lt;"&amp;DATE(2022,8,31),'DATA INPUT'!$F$3:$F$3000,"&lt;&gt;*Exclude*")),#N/A))</f>
        <v>#N/A</v>
      </c>
      <c r="AZ70" s="117" t="e">
        <f>IF($L$2="Yes",IFERROR((SUMIFS('DATA INPUT'!$C$3:$C$3000,'DATA INPUT'!$B$3:$B$3000,'Report Tables'!AX$1,'DATA INPUT'!$A$3:$A$3000,"&gt;="&amp;DATE(2022,8,1),'DATA INPUT'!$A$3:$A$3000,"&lt;"&amp;DATE(2022,8,31)))/COUNTIFS('DATA INPUT'!$B$3:$B$3000,'Report Tables'!AX$1,'DATA INPUT'!$A$3:$A$3000,"&gt;="&amp;DATE(2022,8,1),'DATA INPUT'!$A$3:$A$3000,"&lt;"&amp;DATE(2022,8,31)),#N/A),IFERROR((SUMIFS('DATA INPUT'!$C$3:$C$3000,'DATA INPUT'!$B$3:$B$3000,'Report Tables'!AX$1,'DATA INPUT'!$A$3:$A$3000,"&gt;="&amp;DATE(2022,8,1),'DATA INPUT'!$A$3:$A$3000,"&lt;"&amp;DATE(2022,8,31),'DATA INPUT'!$F$3:$F$3000,"&lt;&gt;*Exclude*"))/(COUNTIFS('DATA INPUT'!$B$3:$B$3000,'Report Tables'!AX$1,'DATA INPUT'!$A$3:$A$3000,"&gt;="&amp;DATE(2022,8,1),'DATA INPUT'!$A$3:$A$3000,"&lt;"&amp;DATE(2022,8,31),'DATA INPUT'!$F$3:$F$3000,"&lt;&gt;*Exclude*")),#N/A))</f>
        <v>#N/A</v>
      </c>
    </row>
    <row r="71" spans="25:52" x14ac:dyDescent="0.3">
      <c r="Y71" s="149"/>
      <c r="Z71" s="149" t="s">
        <v>20</v>
      </c>
      <c r="AA71" s="136" t="e">
        <f>IF($L$2="Yes",IF(SUMIFS('DATA INPUT'!$E$3:$E$3000,'DATA INPUT'!$B$3:$B$3000,'Report Tables'!AA$1,'DATA INPUT'!$A$3:$A$3000,"&gt;="&amp;DATE(2022,9,1),'DATA INPUT'!$A$3:$A$3000,"&lt;"&amp;DATE(2022,9,31))=0,#N/A,(SUMIFS('DATA INPUT'!$E$3:$E$3000,'DATA INPUT'!$B$3:$B$3000,'Report Tables'!AA$1,'DATA INPUT'!$A$3:$A$3000,"&gt;="&amp;DATE(2022,9,1),'DATA INPUT'!$A$3:$A$3000,"&lt;"&amp;DATE(2022,9,31)))),IF(SUMIFS('DATA INPUT'!$E$3:$E$3000,'DATA INPUT'!$B$3:$B$3000,'Report Tables'!AA$1,'DATA INPUT'!$A$3:$A$3000,"&gt;="&amp;DATE(2022,9,1),'DATA INPUT'!$A$3:$A$3000,"&lt;"&amp;DATE(2022,9,31),'DATA INPUT'!$F$3:$F$3000,"&lt;&gt;*Exclude*")=0,#N/A,(SUMIFS('DATA INPUT'!$E$3:$E$3000,'DATA INPUT'!$B$3:$B$3000,'Report Tables'!AA$1,'DATA INPUT'!$A$3:$A$3000,"&gt;="&amp;DATE(2022,9,1),'DATA INPUT'!$A$3:$A$3000,"&lt;"&amp;DATE(2022,9,31),'DATA INPUT'!$F$3:$F$3000,"&lt;&gt;*Exclude*"))))</f>
        <v>#N/A</v>
      </c>
      <c r="AB71" s="136" t="e">
        <f>IF($L$2="Yes",IF(SUMIFS('DATA INPUT'!$E$3:$E$3000,'DATA INPUT'!$B$3:$B$3000,'Report Tables'!AB$1,'DATA INPUT'!$A$3:$A$3000,"&gt;="&amp;DATE(2022,9,1),'DATA INPUT'!$A$3:$A$3000,"&lt;"&amp;DATE(2022,9,31))=0,#N/A,(SUMIFS('DATA INPUT'!$E$3:$E$3000,'DATA INPUT'!$B$3:$B$3000,'Report Tables'!AB$1,'DATA INPUT'!$A$3:$A$3000,"&gt;="&amp;DATE(2022,9,1),'DATA INPUT'!$A$3:$A$3000,"&lt;"&amp;DATE(2022,9,31)))),IF(SUMIFS('DATA INPUT'!$E$3:$E$3000,'DATA INPUT'!$B$3:$B$3000,'Report Tables'!AB$1,'DATA INPUT'!$A$3:$A$3000,"&gt;="&amp;DATE(2022,9,1),'DATA INPUT'!$A$3:$A$3000,"&lt;"&amp;DATE(2022,9,31),'DATA INPUT'!$F$3:$F$3000,"&lt;&gt;*Exclude*")=0,#N/A,(SUMIFS('DATA INPUT'!$E$3:$E$3000,'DATA INPUT'!$B$3:$B$3000,'Report Tables'!AB$1,'DATA INPUT'!$A$3:$A$3000,"&gt;="&amp;DATE(2022,9,1),'DATA INPUT'!$A$3:$A$3000,"&lt;"&amp;DATE(2022,9,31),'DATA INPUT'!$F$3:$F$3000,"&lt;&gt;*Exclude*"))))</f>
        <v>#N/A</v>
      </c>
      <c r="AC71" s="136" t="e">
        <f>IF($L$2="Yes",IF(SUMIFS('DATA INPUT'!$E$3:$E$3000,'DATA INPUT'!$B$3:$B$3000,'Report Tables'!AC$1,'DATA INPUT'!$A$3:$A$3000,"&gt;="&amp;DATE(2022,9,1),'DATA INPUT'!$A$3:$A$3000,"&lt;"&amp;DATE(2022,9,31))=0,#N/A,(SUMIFS('DATA INPUT'!$E$3:$E$3000,'DATA INPUT'!$B$3:$B$3000,'Report Tables'!AC$1,'DATA INPUT'!$A$3:$A$3000,"&gt;="&amp;DATE(2022,9,1),'DATA INPUT'!$A$3:$A$3000,"&lt;"&amp;DATE(2022,9,31)))),IF(SUMIFS('DATA INPUT'!$E$3:$E$3000,'DATA INPUT'!$B$3:$B$3000,'Report Tables'!AC$1,'DATA INPUT'!$A$3:$A$3000,"&gt;="&amp;DATE(2022,9,1),'DATA INPUT'!$A$3:$A$3000,"&lt;"&amp;DATE(2022,9,31),'DATA INPUT'!$F$3:$F$3000,"&lt;&gt;*Exclude*")=0,#N/A,(SUMIFS('DATA INPUT'!$E$3:$E$3000,'DATA INPUT'!$B$3:$B$3000,'Report Tables'!AC$1,'DATA INPUT'!$A$3:$A$3000,"&gt;="&amp;DATE(2022,9,1),'DATA INPUT'!$A$3:$A$3000,"&lt;"&amp;DATE(2022,9,31),'DATA INPUT'!$F$3:$F$3000,"&lt;&gt;*Exclude*"))))</f>
        <v>#N/A</v>
      </c>
      <c r="AD71" s="136" t="e">
        <f>IF($L$2="Yes",IF(SUMIFS('DATA INPUT'!$E$3:$E$3000,'DATA INPUT'!$B$3:$B$3000,'Report Tables'!AD$1,'DATA INPUT'!$A$3:$A$3000,"&gt;="&amp;DATE(2022,9,1),'DATA INPUT'!$A$3:$A$3000,"&lt;"&amp;DATE(2022,9,31))=0,#N/A,(SUMIFS('DATA INPUT'!$E$3:$E$3000,'DATA INPUT'!$B$3:$B$3000,'Report Tables'!AD$1,'DATA INPUT'!$A$3:$A$3000,"&gt;="&amp;DATE(2022,9,1),'DATA INPUT'!$A$3:$A$3000,"&lt;"&amp;DATE(2022,9,31)))),IF(SUMIFS('DATA INPUT'!$E$3:$E$3000,'DATA INPUT'!$B$3:$B$3000,'Report Tables'!AD$1,'DATA INPUT'!$A$3:$A$3000,"&gt;="&amp;DATE(2022,9,1),'DATA INPUT'!$A$3:$A$3000,"&lt;"&amp;DATE(2022,9,31),'DATA INPUT'!$F$3:$F$3000,"&lt;&gt;*Exclude*")=0,#N/A,(SUMIFS('DATA INPUT'!$E$3:$E$3000,'DATA INPUT'!$B$3:$B$3000,'Report Tables'!AD$1,'DATA INPUT'!$A$3:$A$3000,"&gt;="&amp;DATE(2022,9,1),'DATA INPUT'!$A$3:$A$3000,"&lt;"&amp;DATE(2022,9,31),'DATA INPUT'!$F$3:$F$3000,"&lt;&gt;*Exclude*"))))</f>
        <v>#N/A</v>
      </c>
      <c r="AE71" s="136" t="e">
        <f>IF($L$2="Yes",IF(SUMIFS('DATA INPUT'!$E$3:$E$3000,'DATA INPUT'!$B$3:$B$3000,'Report Tables'!AE$1,'DATA INPUT'!$A$3:$A$3000,"&gt;="&amp;DATE(2022,9,1),'DATA INPUT'!$A$3:$A$3000,"&lt;"&amp;DATE(2022,9,31))=0,#N/A,(SUMIFS('DATA INPUT'!$E$3:$E$3000,'DATA INPUT'!$B$3:$B$3000,'Report Tables'!AE$1,'DATA INPUT'!$A$3:$A$3000,"&gt;="&amp;DATE(2022,9,1),'DATA INPUT'!$A$3:$A$3000,"&lt;"&amp;DATE(2022,9,31)))),IF(SUMIFS('DATA INPUT'!$E$3:$E$3000,'DATA INPUT'!$B$3:$B$3000,'Report Tables'!AE$1,'DATA INPUT'!$A$3:$A$3000,"&gt;="&amp;DATE(2022,9,1),'DATA INPUT'!$A$3:$A$3000,"&lt;"&amp;DATE(2022,9,31),'DATA INPUT'!$F$3:$F$3000,"&lt;&gt;*Exclude*")=0,#N/A,(SUMIFS('DATA INPUT'!$E$3:$E$3000,'DATA INPUT'!$B$3:$B$3000,'Report Tables'!AE$1,'DATA INPUT'!$A$3:$A$3000,"&gt;="&amp;DATE(2022,9,1),'DATA INPUT'!$A$3:$A$3000,"&lt;"&amp;DATE(2022,9,31),'DATA INPUT'!$F$3:$F$3000,"&lt;&gt;*Exclude*"))))</f>
        <v>#N/A</v>
      </c>
      <c r="AF71" s="136" t="e">
        <f>IF($L$2="Yes",IF(SUMIFS('DATA INPUT'!$E$3:$E$3000,'DATA INPUT'!$B$3:$B$3000,'Report Tables'!AF$1,'DATA INPUT'!$A$3:$A$3000,"&gt;="&amp;DATE(2022,9,1),'DATA INPUT'!$A$3:$A$3000,"&lt;"&amp;DATE(2022,9,31))=0,#N/A,(SUMIFS('DATA INPUT'!$E$3:$E$3000,'DATA INPUT'!$B$3:$B$3000,'Report Tables'!AF$1,'DATA INPUT'!$A$3:$A$3000,"&gt;="&amp;DATE(2022,9,1),'DATA INPUT'!$A$3:$A$3000,"&lt;"&amp;DATE(2022,9,31)))),IF(SUMIFS('DATA INPUT'!$E$3:$E$3000,'DATA INPUT'!$B$3:$B$3000,'Report Tables'!AF$1,'DATA INPUT'!$A$3:$A$3000,"&gt;="&amp;DATE(2022,9,1),'DATA INPUT'!$A$3:$A$3000,"&lt;"&amp;DATE(2022,9,31),'DATA INPUT'!$F$3:$F$3000,"&lt;&gt;*Exclude*")=0,#N/A,(SUMIFS('DATA INPUT'!$E$3:$E$3000,'DATA INPUT'!$B$3:$B$3000,'Report Tables'!AF$1,'DATA INPUT'!$A$3:$A$3000,"&gt;="&amp;DATE(2022,9,1),'DATA INPUT'!$A$3:$A$3000,"&lt;"&amp;DATE(2022,9,31),'DATA INPUT'!$F$3:$F$3000,"&lt;&gt;*Exclude*"))))</f>
        <v>#N/A</v>
      </c>
      <c r="AG71" s="136" t="e">
        <f>IF($L$2="Yes",IF(SUMIFS('DATA INPUT'!$E$3:$E$3000,'DATA INPUT'!$B$3:$B$3000,'Report Tables'!AG$1,'DATA INPUT'!$A$3:$A$3000,"&gt;="&amp;DATE(2022,9,1),'DATA INPUT'!$A$3:$A$3000,"&lt;"&amp;DATE(2022,9,31))=0,#N/A,(SUMIFS('DATA INPUT'!$E$3:$E$3000,'DATA INPUT'!$B$3:$B$3000,'Report Tables'!AG$1,'DATA INPUT'!$A$3:$A$3000,"&gt;="&amp;DATE(2022,9,1),'DATA INPUT'!$A$3:$A$3000,"&lt;"&amp;DATE(2022,9,31)))),IF(SUMIFS('DATA INPUT'!$E$3:$E$3000,'DATA INPUT'!$B$3:$B$3000,'Report Tables'!AG$1,'DATA INPUT'!$A$3:$A$3000,"&gt;="&amp;DATE(2022,9,1),'DATA INPUT'!$A$3:$A$3000,"&lt;"&amp;DATE(2022,9,31),'DATA INPUT'!$F$3:$F$3000,"&lt;&gt;*Exclude*")=0,#N/A,(SUMIFS('DATA INPUT'!$E$3:$E$3000,'DATA INPUT'!$B$3:$B$3000,'Report Tables'!AG$1,'DATA INPUT'!$A$3:$A$3000,"&gt;="&amp;DATE(2022,9,1),'DATA INPUT'!$A$3:$A$3000,"&lt;"&amp;DATE(2022,9,31),'DATA INPUT'!$F$3:$F$3000,"&lt;&gt;*Exclude*"))))</f>
        <v>#N/A</v>
      </c>
      <c r="AH71" s="136" t="e">
        <f>IF($L$2="Yes",IF(SUMIFS('DATA INPUT'!$E$3:$E$3000,'DATA INPUT'!$B$3:$B$3000,'Report Tables'!AH$1,'DATA INPUT'!$A$3:$A$3000,"&gt;="&amp;DATE(2022,9,1),'DATA INPUT'!$A$3:$A$3000,"&lt;"&amp;DATE(2022,9,31))=0,#N/A,(SUMIFS('DATA INPUT'!$E$3:$E$3000,'DATA INPUT'!$B$3:$B$3000,'Report Tables'!AH$1,'DATA INPUT'!$A$3:$A$3000,"&gt;="&amp;DATE(2022,9,1),'DATA INPUT'!$A$3:$A$3000,"&lt;"&amp;DATE(2022,9,31)))),IF(SUMIFS('DATA INPUT'!$E$3:$E$3000,'DATA INPUT'!$B$3:$B$3000,'Report Tables'!AH$1,'DATA INPUT'!$A$3:$A$3000,"&gt;="&amp;DATE(2022,9,1),'DATA INPUT'!$A$3:$A$3000,"&lt;"&amp;DATE(2022,9,31),'DATA INPUT'!$F$3:$F$3000,"&lt;&gt;*Exclude*")=0,#N/A,(SUMIFS('DATA INPUT'!$E$3:$E$3000,'DATA INPUT'!$B$3:$B$3000,'Report Tables'!AH$1,'DATA INPUT'!$A$3:$A$3000,"&gt;="&amp;DATE(2022,9,1),'DATA INPUT'!$A$3:$A$3000,"&lt;"&amp;DATE(2022,9,31),'DATA INPUT'!$F$3:$F$3000,"&lt;&gt;*Exclude*"))))</f>
        <v>#N/A</v>
      </c>
      <c r="AI71" s="136" t="e">
        <f t="shared" si="23"/>
        <v>#N/A</v>
      </c>
      <c r="AJ71" s="136" t="e">
        <f>IF($L$2="Yes",IF(SUMIFS('DATA INPUT'!$D$3:$D$3000,'DATA INPUT'!$A$3:$A$3000,"&gt;="&amp;DATE(2022,9,1),'DATA INPUT'!$A$3:$A$3000,"&lt;"&amp;DATE(2022,9,31),'DATA INPUT'!$G$3:$G$3000,"&lt;&gt;*School service*")=0,#N/A,(SUMIFS('DATA INPUT'!$D$3:$D$3000,'DATA INPUT'!$A$3:$A$3000,"&gt;="&amp;DATE(2022,9,1),'DATA INPUT'!$A$3:$A$3000,"&lt;"&amp;DATE(2022,9,31),'DATA INPUT'!$G$3:$G$3000,"&lt;&gt;*School service*"))),IF(SUMIFS('DATA INPUT'!$D$3:$D$3000,'DATA INPUT'!$A$3:$A$3000,"&gt;="&amp;DATE(2022,9,1),'DATA INPUT'!$A$3:$A$3000,"&lt;"&amp;DATE(2022,9,31),'DATA INPUT'!$F$3:$F$3000,"&lt;&gt;*Exclude*",'DATA INPUT'!$G$3:$G$3000,"&lt;&gt;*School service*")=0,#N/A,(SUMIFS('DATA INPUT'!$D$3:$D$3000,'DATA INPUT'!$A$3:$A$3000,"&gt;="&amp;DATE(2022,9,1),'DATA INPUT'!$A$3:$A$3000,"&lt;"&amp;DATE(2022,9,31),'DATA INPUT'!$F$3:$F$3000,"&lt;&gt;*Exclude*",'DATA INPUT'!$G$3:$G$3000,"&lt;&gt;*School service*"))))</f>
        <v>#N/A</v>
      </c>
      <c r="AK71" s="136" t="e">
        <f>AI71-AJ71</f>
        <v>#N/A</v>
      </c>
      <c r="AM71" s="117" t="e">
        <f>IF($L$2="Yes",IFERROR((SUMIFS('DATA INPUT'!$E$3:$E$3000,'DATA INPUT'!$B$3:$B$3000,'Report Tables'!AM$1,'DATA INPUT'!$A$3:$A$3000,"&gt;="&amp;DATE(2022,9,1),'DATA INPUT'!$A$3:$A$3000,"&lt;"&amp;DATE(2022,9,31)))/COUNTIFS('DATA INPUT'!$B$3:$B$3000,'Report Tables'!AM$1,'DATA INPUT'!$A$3:$A$3000,"&gt;="&amp;DATE(2022,9,1),'DATA INPUT'!$A$3:$A$3000,"&lt;"&amp;DATE(2022,9,31)),#N/A),IFERROR((SUMIFS('DATA INPUT'!$E$3:$E$3000,'DATA INPUT'!$B$3:$B$3000,'Report Tables'!AM$1,'DATA INPUT'!$A$3:$A$3000,"&gt;="&amp;DATE(2022,9,1),'DATA INPUT'!$A$3:$A$3000,"&lt;"&amp;DATE(2022,9,31),'DATA INPUT'!$F$3:$F$3000,"&lt;&gt;*Exclude*"))/(COUNTIFS('DATA INPUT'!$B$3:$B$3000,'Report Tables'!AM$1,'DATA INPUT'!$A$3:$A$3000,"&gt;="&amp;DATE(2022,9,1),'DATA INPUT'!$A$3:$A$3000,"&lt;"&amp;DATE(2022,9,31),'DATA INPUT'!$F$3:$F$3000,"&lt;&gt;*Exclude*")),#N/A))</f>
        <v>#N/A</v>
      </c>
      <c r="AN71" s="117" t="e">
        <f>IF($L$2="Yes",IFERROR((SUMIFS('DATA INPUT'!$E$3:$E$3000,'DATA INPUT'!$B$3:$B$3000,'Report Tables'!AN$1,'DATA INPUT'!$A$3:$A$3000,"&gt;="&amp;DATE(2022,9,1),'DATA INPUT'!$A$3:$A$3000,"&lt;"&amp;DATE(2022,9,31)))/COUNTIFS('DATA INPUT'!$B$3:$B$3000,'Report Tables'!AN$1,'DATA INPUT'!$A$3:$A$3000,"&gt;="&amp;DATE(2022,9,1),'DATA INPUT'!$A$3:$A$3000,"&lt;"&amp;DATE(2022,9,31)),#N/A),IFERROR((SUMIFS('DATA INPUT'!$E$3:$E$3000,'DATA INPUT'!$B$3:$B$3000,'Report Tables'!AN$1,'DATA INPUT'!$A$3:$A$3000,"&gt;="&amp;DATE(2022,9,1),'DATA INPUT'!$A$3:$A$3000,"&lt;"&amp;DATE(2022,9,31),'DATA INPUT'!$F$3:$F$3000,"&lt;&gt;*Exclude*"))/(COUNTIFS('DATA INPUT'!$B$3:$B$3000,'Report Tables'!AN$1,'DATA INPUT'!$A$3:$A$3000,"&gt;="&amp;DATE(2022,9,1),'DATA INPUT'!$A$3:$A$3000,"&lt;"&amp;DATE(2022,9,31),'DATA INPUT'!$F$3:$F$3000,"&lt;&gt;*Exclude*")),#N/A))</f>
        <v>#N/A</v>
      </c>
      <c r="AO71" s="117" t="e">
        <f>IF($L$2="Yes",IFERROR((SUMIFS('DATA INPUT'!$E$3:$E$3000,'DATA INPUT'!$B$3:$B$3000,'Report Tables'!AO$1,'DATA INPUT'!$A$3:$A$3000,"&gt;="&amp;DATE(2022,9,1),'DATA INPUT'!$A$3:$A$3000,"&lt;"&amp;DATE(2022,9,31)))/COUNTIFS('DATA INPUT'!$B$3:$B$3000,'Report Tables'!AO$1,'DATA INPUT'!$A$3:$A$3000,"&gt;="&amp;DATE(2022,9,1),'DATA INPUT'!$A$3:$A$3000,"&lt;"&amp;DATE(2022,9,31)),#N/A),IFERROR((SUMIFS('DATA INPUT'!$E$3:$E$3000,'DATA INPUT'!$B$3:$B$3000,'Report Tables'!AO$1,'DATA INPUT'!$A$3:$A$3000,"&gt;="&amp;DATE(2022,9,1),'DATA INPUT'!$A$3:$A$3000,"&lt;"&amp;DATE(2022,9,31),'DATA INPUT'!$F$3:$F$3000,"&lt;&gt;*Exclude*"))/(COUNTIFS('DATA INPUT'!$B$3:$B$3000,'Report Tables'!AO$1,'DATA INPUT'!$A$3:$A$3000,"&gt;="&amp;DATE(2022,9,1),'DATA INPUT'!$A$3:$A$3000,"&lt;"&amp;DATE(2022,9,31),'DATA INPUT'!$F$3:$F$3000,"&lt;&gt;*Exclude*")),#N/A))</f>
        <v>#N/A</v>
      </c>
      <c r="AP71" s="117" t="e">
        <f>IF($L$2="Yes",IFERROR((SUMIFS('DATA INPUT'!$E$3:$E$3000,'DATA INPUT'!$B$3:$B$3000,'Report Tables'!AP$1,'DATA INPUT'!$A$3:$A$3000,"&gt;="&amp;DATE(2022,9,1),'DATA INPUT'!$A$3:$A$3000,"&lt;"&amp;DATE(2022,9,31)))/COUNTIFS('DATA INPUT'!$B$3:$B$3000,'Report Tables'!AP$1,'DATA INPUT'!$A$3:$A$3000,"&gt;="&amp;DATE(2022,9,1),'DATA INPUT'!$A$3:$A$3000,"&lt;"&amp;DATE(2022,9,31)),#N/A),IFERROR((SUMIFS('DATA INPUT'!$E$3:$E$3000,'DATA INPUT'!$B$3:$B$3000,'Report Tables'!AP$1,'DATA INPUT'!$A$3:$A$3000,"&gt;="&amp;DATE(2022,9,1),'DATA INPUT'!$A$3:$A$3000,"&lt;"&amp;DATE(2022,9,31),'DATA INPUT'!$F$3:$F$3000,"&lt;&gt;*Exclude*"))/(COUNTIFS('DATA INPUT'!$B$3:$B$3000,'Report Tables'!AP$1,'DATA INPUT'!$A$3:$A$3000,"&gt;="&amp;DATE(2022,9,1),'DATA INPUT'!$A$3:$A$3000,"&lt;"&amp;DATE(2022,9,31),'DATA INPUT'!$F$3:$F$3000,"&lt;&gt;*Exclude*")),#N/A))</f>
        <v>#N/A</v>
      </c>
      <c r="AQ71" s="117" t="e">
        <f>IF($L$2="Yes",IFERROR((SUMIFS('DATA INPUT'!$E$3:$E$3000,'DATA INPUT'!$B$3:$B$3000,'Report Tables'!AQ$1,'DATA INPUT'!$A$3:$A$3000,"&gt;="&amp;DATE(2022,9,1),'DATA INPUT'!$A$3:$A$3000,"&lt;"&amp;DATE(2022,9,31)))/COUNTIFS('DATA INPUT'!$B$3:$B$3000,'Report Tables'!AQ$1,'DATA INPUT'!$A$3:$A$3000,"&gt;="&amp;DATE(2022,9,1),'DATA INPUT'!$A$3:$A$3000,"&lt;"&amp;DATE(2022,9,31)),#N/A),IFERROR((SUMIFS('DATA INPUT'!$E$3:$E$3000,'DATA INPUT'!$B$3:$B$3000,'Report Tables'!AQ$1,'DATA INPUT'!$A$3:$A$3000,"&gt;="&amp;DATE(2022,9,1),'DATA INPUT'!$A$3:$A$3000,"&lt;"&amp;DATE(2022,9,31),'DATA INPUT'!$F$3:$F$3000,"&lt;&gt;*Exclude*"))/(COUNTIFS('DATA INPUT'!$B$3:$B$3000,'Report Tables'!AQ$1,'DATA INPUT'!$A$3:$A$3000,"&gt;="&amp;DATE(2022,9,1),'DATA INPUT'!$A$3:$A$3000,"&lt;"&amp;DATE(2022,9,31),'DATA INPUT'!$F$3:$F$3000,"&lt;&gt;*Exclude*")),#N/A))</f>
        <v>#N/A</v>
      </c>
      <c r="AR71" s="117" t="e">
        <f>IF($L$2="Yes",IFERROR((SUMIFS('DATA INPUT'!$E$3:$E$3000,'DATA INPUT'!$B$3:$B$3000,'Report Tables'!AR$1,'DATA INPUT'!$A$3:$A$3000,"&gt;="&amp;DATE(2022,9,1),'DATA INPUT'!$A$3:$A$3000,"&lt;"&amp;DATE(2022,9,31)))/COUNTIFS('DATA INPUT'!$B$3:$B$3000,'Report Tables'!AR$1,'DATA INPUT'!$A$3:$A$3000,"&gt;="&amp;DATE(2022,9,1),'DATA INPUT'!$A$3:$A$3000,"&lt;"&amp;DATE(2022,9,31)),#N/A),IFERROR((SUMIFS('DATA INPUT'!$E$3:$E$3000,'DATA INPUT'!$B$3:$B$3000,'Report Tables'!AR$1,'DATA INPUT'!$A$3:$A$3000,"&gt;="&amp;DATE(2022,9,1),'DATA INPUT'!$A$3:$A$3000,"&lt;"&amp;DATE(2022,9,31),'DATA INPUT'!$F$3:$F$3000,"&lt;&gt;*Exclude*"))/(COUNTIFS('DATA INPUT'!$B$3:$B$3000,'Report Tables'!AR$1,'DATA INPUT'!$A$3:$A$3000,"&gt;="&amp;DATE(2022,9,1),'DATA INPUT'!$A$3:$A$3000,"&lt;"&amp;DATE(2022,9,31),'DATA INPUT'!$F$3:$F$3000,"&lt;&gt;*Exclude*")),#N/A))</f>
        <v>#N/A</v>
      </c>
      <c r="AS71" s="117" t="e">
        <f>IF($L$2="Yes",IFERROR((SUMIFS('DATA INPUT'!$E$3:$E$3000,'DATA INPUT'!$B$3:$B$3000,'Report Tables'!AS$1,'DATA INPUT'!$A$3:$A$3000,"&gt;="&amp;DATE(2022,9,1),'DATA INPUT'!$A$3:$A$3000,"&lt;"&amp;DATE(2022,9,31)))/COUNTIFS('DATA INPUT'!$B$3:$B$3000,'Report Tables'!AS$1,'DATA INPUT'!$A$3:$A$3000,"&gt;="&amp;DATE(2022,9,1),'DATA INPUT'!$A$3:$A$3000,"&lt;"&amp;DATE(2022,9,31)),#N/A),IFERROR((SUMIFS('DATA INPUT'!$E$3:$E$3000,'DATA INPUT'!$B$3:$B$3000,'Report Tables'!AS$1,'DATA INPUT'!$A$3:$A$3000,"&gt;="&amp;DATE(2022,9,1),'DATA INPUT'!$A$3:$A$3000,"&lt;"&amp;DATE(2022,9,31),'DATA INPUT'!$F$3:$F$3000,"&lt;&gt;*Exclude*"))/(COUNTIFS('DATA INPUT'!$B$3:$B$3000,'Report Tables'!AS$1,'DATA INPUT'!$A$3:$A$3000,"&gt;="&amp;DATE(2022,9,1),'DATA INPUT'!$A$3:$A$3000,"&lt;"&amp;DATE(2022,9,31),'DATA INPUT'!$F$3:$F$3000,"&lt;&gt;*Exclude*")),#N/A))</f>
        <v>#N/A</v>
      </c>
      <c r="AT71" s="117" t="e">
        <f>IF($L$2="Yes",IFERROR((SUMIFS('DATA INPUT'!$E$3:$E$3000,'DATA INPUT'!$B$3:$B$3000,'Report Tables'!AT$1,'DATA INPUT'!$A$3:$A$3000,"&gt;="&amp;DATE(2022,9,1),'DATA INPUT'!$A$3:$A$3000,"&lt;"&amp;DATE(2022,9,31)))/COUNTIFS('DATA INPUT'!$B$3:$B$3000,'Report Tables'!AT$1,'DATA INPUT'!$A$3:$A$3000,"&gt;="&amp;DATE(2022,9,1),'DATA INPUT'!$A$3:$A$3000,"&lt;"&amp;DATE(2022,9,31)),#N/A),IFERROR((SUMIFS('DATA INPUT'!$E$3:$E$3000,'DATA INPUT'!$B$3:$B$3000,'Report Tables'!AT$1,'DATA INPUT'!$A$3:$A$3000,"&gt;="&amp;DATE(2022,9,1),'DATA INPUT'!$A$3:$A$3000,"&lt;"&amp;DATE(2022,9,31),'DATA INPUT'!$F$3:$F$3000,"&lt;&gt;*Exclude*"))/(COUNTIFS('DATA INPUT'!$B$3:$B$3000,'Report Tables'!AT$1,'DATA INPUT'!$A$3:$A$3000,"&gt;="&amp;DATE(2022,9,1),'DATA INPUT'!$A$3:$A$3000,"&lt;"&amp;DATE(2022,9,31),'DATA INPUT'!$F$3:$F$3000,"&lt;&gt;*Exclude*")),#N/A))</f>
        <v>#N/A</v>
      </c>
      <c r="AU71" s="117" t="e">
        <f t="shared" si="24"/>
        <v>#N/A</v>
      </c>
      <c r="AV71" s="117" t="e">
        <f>IF($L$2="Yes",IFERROR((SUMIFS('DATA INPUT'!$D$3:$D$3000,'DATA INPUT'!$A$3:$A$3000,"&gt;="&amp;DATE(2022,9,1),'DATA INPUT'!$A$3:$A$3000,"&lt;"&amp;DATE(2022,9,31),'DATA INPUT'!$G$3:$G$3000,"&lt;&gt;*School service*"))/COUNTIFS('DATA INPUT'!$A$3:$A$3000,"&gt;="&amp;DATE(2022,9,1),'DATA INPUT'!$A$3:$A$3000,"&lt;"&amp;DATE(2022,9,31),'DATA INPUT'!$G$3:$G$3000,"&lt;&gt;*School service*",'DATA INPUT'!$D$3:$D$3000,"&lt;&gt;"&amp;""),#N/A),IFERROR((SUMIFS('DATA INPUT'!$D$3:$D$3000,'DATA INPUT'!$A$3:$A$3000,"&gt;="&amp;DATE(2022,9,1),'DATA INPUT'!$A$3:$A$3000,"&lt;"&amp;DATE(2022,9,31),'DATA INPUT'!$F$3:$F$3000,"&lt;&gt;*Exclude*",'DATA INPUT'!$G$3:$G$3000,"&lt;&gt;*School service*"))/(COUNTIFS('DATA INPUT'!$A$3:$A$3000,"&gt;="&amp;DATE(2022,9,1),'DATA INPUT'!$A$3:$A$3000,"&lt;"&amp;DATE(2022,9,31),'DATA INPUT'!$F$3:$F$3000,"&lt;&gt;*Exclude*",'DATA INPUT'!$G$3:$G$3000,"&lt;&gt;*School service*",'DATA INPUT'!$D$3:$D$3000,"&lt;&gt;"&amp;"")),#N/A))</f>
        <v>#N/A</v>
      </c>
      <c r="AW71" s="117" t="e">
        <f t="shared" si="25"/>
        <v>#N/A</v>
      </c>
      <c r="AX71" s="117" t="e">
        <f>IF($L$2="Yes",IFERROR((SUMIFS('DATA INPUT'!$E$3:$E$3000,'DATA INPUT'!$B$3:$B$3000,'Report Tables'!AX$1,'DATA INPUT'!$A$3:$A$3000,"&gt;="&amp;DATE(2022,9,1),'DATA INPUT'!$A$3:$A$3000,"&lt;"&amp;DATE(2022,9,31)))/COUNTIFS('DATA INPUT'!$B$3:$B$3000,'Report Tables'!AX$1,'DATA INPUT'!$A$3:$A$3000,"&gt;="&amp;DATE(2022,9,1),'DATA INPUT'!$A$3:$A$3000,"&lt;"&amp;DATE(2022,9,31)),#N/A),IFERROR((SUMIFS('DATA INPUT'!$E$3:$E$3000,'DATA INPUT'!$B$3:$B$3000,'Report Tables'!AX$1,'DATA INPUT'!$A$3:$A$3000,"&gt;="&amp;DATE(2022,9,1),'DATA INPUT'!$A$3:$A$3000,"&lt;"&amp;DATE(2022,9,31),'DATA INPUT'!$F$3:$F$3000,"&lt;&gt;*Exclude*"))/(COUNTIFS('DATA INPUT'!$B$3:$B$3000,'Report Tables'!AX$1,'DATA INPUT'!$A$3:$A$3000,"&gt;="&amp;DATE(2022,9,1),'DATA INPUT'!$A$3:$A$3000,"&lt;"&amp;DATE(2022,9,31),'DATA INPUT'!$F$3:$F$3000,"&lt;&gt;*Exclude*")),#N/A))</f>
        <v>#N/A</v>
      </c>
      <c r="AY71" s="117" t="e">
        <f>IF($L$2="Yes",IFERROR((SUMIFS('DATA INPUT'!$D$3:$D$3000,'DATA INPUT'!$B$3:$B$3000,'Report Tables'!AX$1,'DATA INPUT'!$A$3:$A$3000,"&gt;="&amp;DATE(2022,9,1),'DATA INPUT'!$A$3:$A$3000,"&lt;"&amp;DATE(2022,9,31)))/COUNTIFS('DATA INPUT'!$B$3:$B$3000,'Report Tables'!AX$1,'DATA INPUT'!$A$3:$A$3000,"&gt;="&amp;DATE(2022,9,1),'DATA INPUT'!$A$3:$A$3000,"&lt;"&amp;DATE(2022,9,31)),#N/A),IFERROR((SUMIFS('DATA INPUT'!$D$3:$D$3000,'DATA INPUT'!$B$3:$B$3000,'Report Tables'!AX$1,'DATA INPUT'!$A$3:$A$3000,"&gt;="&amp;DATE(2022,9,1),'DATA INPUT'!$A$3:$A$3000,"&lt;"&amp;DATE(2022,9,31),'DATA INPUT'!$F$3:$F$3000,"&lt;&gt;*Exclude*"))/(COUNTIFS('DATA INPUT'!$B$3:$B$3000,'Report Tables'!AX$1,'DATA INPUT'!$A$3:$A$3000,"&gt;="&amp;DATE(2022,9,1),'DATA INPUT'!$A$3:$A$3000,"&lt;"&amp;DATE(2022,9,31),'DATA INPUT'!$F$3:$F$3000,"&lt;&gt;*Exclude*")),#N/A))</f>
        <v>#N/A</v>
      </c>
      <c r="AZ71" s="117" t="e">
        <f>IF($L$2="Yes",IFERROR((SUMIFS('DATA INPUT'!$C$3:$C$3000,'DATA INPUT'!$B$3:$B$3000,'Report Tables'!AX$1,'DATA INPUT'!$A$3:$A$3000,"&gt;="&amp;DATE(2022,9,1),'DATA INPUT'!$A$3:$A$3000,"&lt;"&amp;DATE(2022,9,31)))/COUNTIFS('DATA INPUT'!$B$3:$B$3000,'Report Tables'!AX$1,'DATA INPUT'!$A$3:$A$3000,"&gt;="&amp;DATE(2022,9,1),'DATA INPUT'!$A$3:$A$3000,"&lt;"&amp;DATE(2022,9,31)),#N/A),IFERROR((SUMIFS('DATA INPUT'!$C$3:$C$3000,'DATA INPUT'!$B$3:$B$3000,'Report Tables'!AX$1,'DATA INPUT'!$A$3:$A$3000,"&gt;="&amp;DATE(2022,9,1),'DATA INPUT'!$A$3:$A$3000,"&lt;"&amp;DATE(2022,9,31),'DATA INPUT'!$F$3:$F$3000,"&lt;&gt;*Exclude*"))/(COUNTIFS('DATA INPUT'!$B$3:$B$3000,'Report Tables'!AX$1,'DATA INPUT'!$A$3:$A$3000,"&gt;="&amp;DATE(2022,9,1),'DATA INPUT'!$A$3:$A$3000,"&lt;"&amp;DATE(2022,9,31),'DATA INPUT'!$F$3:$F$3000,"&lt;&gt;*Exclude*")),#N/A))</f>
        <v>#N/A</v>
      </c>
    </row>
    <row r="72" spans="25:52" x14ac:dyDescent="0.3">
      <c r="Y72" s="149"/>
      <c r="Z72" s="149" t="s">
        <v>21</v>
      </c>
      <c r="AA72" s="136" t="e">
        <f>IF($L$2="Yes",IF(SUMIFS('DATA INPUT'!$E$3:$E$3000,'DATA INPUT'!$B$3:$B$3000,'Report Tables'!AA$1,'DATA INPUT'!$A$3:$A$3000,"&gt;="&amp;DATE(2022,10,1),'DATA INPUT'!$A$3:$A$3000,"&lt;"&amp;DATE(2022,10,31))=0,#N/A,(SUMIFS('DATA INPUT'!$E$3:$E$3000,'DATA INPUT'!$B$3:$B$3000,'Report Tables'!AA$1,'DATA INPUT'!$A$3:$A$3000,"&gt;="&amp;DATE(2022,10,1),'DATA INPUT'!$A$3:$A$3000,"&lt;"&amp;DATE(2022,10,31)))),IF(SUMIFS('DATA INPUT'!$E$3:$E$3000,'DATA INPUT'!$B$3:$B$3000,'Report Tables'!AA$1,'DATA INPUT'!$A$3:$A$3000,"&gt;="&amp;DATE(2022,10,1),'DATA INPUT'!$A$3:$A$3000,"&lt;"&amp;DATE(2022,10,31),'DATA INPUT'!$F$3:$F$3000,"&lt;&gt;*Exclude*")=0,#N/A,(SUMIFS('DATA INPUT'!$E$3:$E$3000,'DATA INPUT'!$B$3:$B$3000,'Report Tables'!AA$1,'DATA INPUT'!$A$3:$A$3000,"&gt;="&amp;DATE(2022,10,1),'DATA INPUT'!$A$3:$A$3000,"&lt;"&amp;DATE(2022,10,31),'DATA INPUT'!$F$3:$F$3000,"&lt;&gt;*Exclude*"))))</f>
        <v>#N/A</v>
      </c>
      <c r="AB72" s="136" t="e">
        <f>IF($L$2="Yes",IF(SUMIFS('DATA INPUT'!$E$3:$E$3000,'DATA INPUT'!$B$3:$B$3000,'Report Tables'!AB$1,'DATA INPUT'!$A$3:$A$3000,"&gt;="&amp;DATE(2022,10,1),'DATA INPUT'!$A$3:$A$3000,"&lt;"&amp;DATE(2022,10,31))=0,#N/A,(SUMIFS('DATA INPUT'!$E$3:$E$3000,'DATA INPUT'!$B$3:$B$3000,'Report Tables'!AB$1,'DATA INPUT'!$A$3:$A$3000,"&gt;="&amp;DATE(2022,10,1),'DATA INPUT'!$A$3:$A$3000,"&lt;"&amp;DATE(2022,10,31)))),IF(SUMIFS('DATA INPUT'!$E$3:$E$3000,'DATA INPUT'!$B$3:$B$3000,'Report Tables'!AB$1,'DATA INPUT'!$A$3:$A$3000,"&gt;="&amp;DATE(2022,10,1),'DATA INPUT'!$A$3:$A$3000,"&lt;"&amp;DATE(2022,10,31),'DATA INPUT'!$F$3:$F$3000,"&lt;&gt;*Exclude*")=0,#N/A,(SUMIFS('DATA INPUT'!$E$3:$E$3000,'DATA INPUT'!$B$3:$B$3000,'Report Tables'!AB$1,'DATA INPUT'!$A$3:$A$3000,"&gt;="&amp;DATE(2022,10,1),'DATA INPUT'!$A$3:$A$3000,"&lt;"&amp;DATE(2022,10,31),'DATA INPUT'!$F$3:$F$3000,"&lt;&gt;*Exclude*"))))</f>
        <v>#N/A</v>
      </c>
      <c r="AC72" s="136" t="e">
        <f>IF($L$2="Yes",IF(SUMIFS('DATA INPUT'!$E$3:$E$3000,'DATA INPUT'!$B$3:$B$3000,'Report Tables'!AC$1,'DATA INPUT'!$A$3:$A$3000,"&gt;="&amp;DATE(2022,10,1),'DATA INPUT'!$A$3:$A$3000,"&lt;"&amp;DATE(2022,10,31))=0,#N/A,(SUMIFS('DATA INPUT'!$E$3:$E$3000,'DATA INPUT'!$B$3:$B$3000,'Report Tables'!AC$1,'DATA INPUT'!$A$3:$A$3000,"&gt;="&amp;DATE(2022,10,1),'DATA INPUT'!$A$3:$A$3000,"&lt;"&amp;DATE(2022,10,31)))),IF(SUMIFS('DATA INPUT'!$E$3:$E$3000,'DATA INPUT'!$B$3:$B$3000,'Report Tables'!AC$1,'DATA INPUT'!$A$3:$A$3000,"&gt;="&amp;DATE(2022,10,1),'DATA INPUT'!$A$3:$A$3000,"&lt;"&amp;DATE(2022,10,31),'DATA INPUT'!$F$3:$F$3000,"&lt;&gt;*Exclude*")=0,#N/A,(SUMIFS('DATA INPUT'!$E$3:$E$3000,'DATA INPUT'!$B$3:$B$3000,'Report Tables'!AC$1,'DATA INPUT'!$A$3:$A$3000,"&gt;="&amp;DATE(2022,10,1),'DATA INPUT'!$A$3:$A$3000,"&lt;"&amp;DATE(2022,10,31),'DATA INPUT'!$F$3:$F$3000,"&lt;&gt;*Exclude*"))))</f>
        <v>#N/A</v>
      </c>
      <c r="AD72" s="136" t="e">
        <f>IF($L$2="Yes",IF(SUMIFS('DATA INPUT'!$E$3:$E$3000,'DATA INPUT'!$B$3:$B$3000,'Report Tables'!AD$1,'DATA INPUT'!$A$3:$A$3000,"&gt;="&amp;DATE(2022,10,1),'DATA INPUT'!$A$3:$A$3000,"&lt;"&amp;DATE(2022,10,31))=0,#N/A,(SUMIFS('DATA INPUT'!$E$3:$E$3000,'DATA INPUT'!$B$3:$B$3000,'Report Tables'!AD$1,'DATA INPUT'!$A$3:$A$3000,"&gt;="&amp;DATE(2022,10,1),'DATA INPUT'!$A$3:$A$3000,"&lt;"&amp;DATE(2022,10,31)))),IF(SUMIFS('DATA INPUT'!$E$3:$E$3000,'DATA INPUT'!$B$3:$B$3000,'Report Tables'!AD$1,'DATA INPUT'!$A$3:$A$3000,"&gt;="&amp;DATE(2022,10,1),'DATA INPUT'!$A$3:$A$3000,"&lt;"&amp;DATE(2022,10,31),'DATA INPUT'!$F$3:$F$3000,"&lt;&gt;*Exclude*")=0,#N/A,(SUMIFS('DATA INPUT'!$E$3:$E$3000,'DATA INPUT'!$B$3:$B$3000,'Report Tables'!AD$1,'DATA INPUT'!$A$3:$A$3000,"&gt;="&amp;DATE(2022,10,1),'DATA INPUT'!$A$3:$A$3000,"&lt;"&amp;DATE(2022,10,31),'DATA INPUT'!$F$3:$F$3000,"&lt;&gt;*Exclude*"))))</f>
        <v>#N/A</v>
      </c>
      <c r="AE72" s="136" t="e">
        <f>IF($L$2="Yes",IF(SUMIFS('DATA INPUT'!$E$3:$E$3000,'DATA INPUT'!$B$3:$B$3000,'Report Tables'!AE$1,'DATA INPUT'!$A$3:$A$3000,"&gt;="&amp;DATE(2022,10,1),'DATA INPUT'!$A$3:$A$3000,"&lt;"&amp;DATE(2022,10,31))=0,#N/A,(SUMIFS('DATA INPUT'!$E$3:$E$3000,'DATA INPUT'!$B$3:$B$3000,'Report Tables'!AE$1,'DATA INPUT'!$A$3:$A$3000,"&gt;="&amp;DATE(2022,10,1),'DATA INPUT'!$A$3:$A$3000,"&lt;"&amp;DATE(2022,10,31)))),IF(SUMIFS('DATA INPUT'!$E$3:$E$3000,'DATA INPUT'!$B$3:$B$3000,'Report Tables'!AE$1,'DATA INPUT'!$A$3:$A$3000,"&gt;="&amp;DATE(2022,10,1),'DATA INPUT'!$A$3:$A$3000,"&lt;"&amp;DATE(2022,10,31),'DATA INPUT'!$F$3:$F$3000,"&lt;&gt;*Exclude*")=0,#N/A,(SUMIFS('DATA INPUT'!$E$3:$E$3000,'DATA INPUT'!$B$3:$B$3000,'Report Tables'!AE$1,'DATA INPUT'!$A$3:$A$3000,"&gt;="&amp;DATE(2022,10,1),'DATA INPUT'!$A$3:$A$3000,"&lt;"&amp;DATE(2022,10,31),'DATA INPUT'!$F$3:$F$3000,"&lt;&gt;*Exclude*"))))</f>
        <v>#N/A</v>
      </c>
      <c r="AF72" s="136" t="e">
        <f>IF($L$2="Yes",IF(SUMIFS('DATA INPUT'!$E$3:$E$3000,'DATA INPUT'!$B$3:$B$3000,'Report Tables'!AF$1,'DATA INPUT'!$A$3:$A$3000,"&gt;="&amp;DATE(2022,10,1),'DATA INPUT'!$A$3:$A$3000,"&lt;"&amp;DATE(2022,10,31))=0,#N/A,(SUMIFS('DATA INPUT'!$E$3:$E$3000,'DATA INPUT'!$B$3:$B$3000,'Report Tables'!AF$1,'DATA INPUT'!$A$3:$A$3000,"&gt;="&amp;DATE(2022,10,1),'DATA INPUT'!$A$3:$A$3000,"&lt;"&amp;DATE(2022,10,31)))),IF(SUMIFS('DATA INPUT'!$E$3:$E$3000,'DATA INPUT'!$B$3:$B$3000,'Report Tables'!AF$1,'DATA INPUT'!$A$3:$A$3000,"&gt;="&amp;DATE(2022,10,1),'DATA INPUT'!$A$3:$A$3000,"&lt;"&amp;DATE(2022,10,31),'DATA INPUT'!$F$3:$F$3000,"&lt;&gt;*Exclude*")=0,#N/A,(SUMIFS('DATA INPUT'!$E$3:$E$3000,'DATA INPUT'!$B$3:$B$3000,'Report Tables'!AF$1,'DATA INPUT'!$A$3:$A$3000,"&gt;="&amp;DATE(2022,10,1),'DATA INPUT'!$A$3:$A$3000,"&lt;"&amp;DATE(2022,10,31),'DATA INPUT'!$F$3:$F$3000,"&lt;&gt;*Exclude*"))))</f>
        <v>#N/A</v>
      </c>
      <c r="AG72" s="136" t="e">
        <f>IF($L$2="Yes",IF(SUMIFS('DATA INPUT'!$E$3:$E$3000,'DATA INPUT'!$B$3:$B$3000,'Report Tables'!AG$1,'DATA INPUT'!$A$3:$A$3000,"&gt;="&amp;DATE(2022,10,1),'DATA INPUT'!$A$3:$A$3000,"&lt;"&amp;DATE(2022,10,31))=0,#N/A,(SUMIFS('DATA INPUT'!$E$3:$E$3000,'DATA INPUT'!$B$3:$B$3000,'Report Tables'!AG$1,'DATA INPUT'!$A$3:$A$3000,"&gt;="&amp;DATE(2022,10,1),'DATA INPUT'!$A$3:$A$3000,"&lt;"&amp;DATE(2022,10,31)))),IF(SUMIFS('DATA INPUT'!$E$3:$E$3000,'DATA INPUT'!$B$3:$B$3000,'Report Tables'!AG$1,'DATA INPUT'!$A$3:$A$3000,"&gt;="&amp;DATE(2022,10,1),'DATA INPUT'!$A$3:$A$3000,"&lt;"&amp;DATE(2022,10,31),'DATA INPUT'!$F$3:$F$3000,"&lt;&gt;*Exclude*")=0,#N/A,(SUMIFS('DATA INPUT'!$E$3:$E$3000,'DATA INPUT'!$B$3:$B$3000,'Report Tables'!AG$1,'DATA INPUT'!$A$3:$A$3000,"&gt;="&amp;DATE(2022,10,1),'DATA INPUT'!$A$3:$A$3000,"&lt;"&amp;DATE(2022,10,31),'DATA INPUT'!$F$3:$F$3000,"&lt;&gt;*Exclude*"))))</f>
        <v>#N/A</v>
      </c>
      <c r="AH72" s="136" t="e">
        <f>IF($L$2="Yes",IF(SUMIFS('DATA INPUT'!$E$3:$E$3000,'DATA INPUT'!$B$3:$B$3000,'Report Tables'!AH$1,'DATA INPUT'!$A$3:$A$3000,"&gt;="&amp;DATE(2022,10,1),'DATA INPUT'!$A$3:$A$3000,"&lt;"&amp;DATE(2022,10,31))=0,#N/A,(SUMIFS('DATA INPUT'!$E$3:$E$3000,'DATA INPUT'!$B$3:$B$3000,'Report Tables'!AH$1,'DATA INPUT'!$A$3:$A$3000,"&gt;="&amp;DATE(2022,10,1),'DATA INPUT'!$A$3:$A$3000,"&lt;"&amp;DATE(2022,10,31)))),IF(SUMIFS('DATA INPUT'!$E$3:$E$3000,'DATA INPUT'!$B$3:$B$3000,'Report Tables'!AH$1,'DATA INPUT'!$A$3:$A$3000,"&gt;="&amp;DATE(2022,10,1),'DATA INPUT'!$A$3:$A$3000,"&lt;"&amp;DATE(2022,10,31),'DATA INPUT'!$F$3:$F$3000,"&lt;&gt;*Exclude*")=0,#N/A,(SUMIFS('DATA INPUT'!$E$3:$E$3000,'DATA INPUT'!$B$3:$B$3000,'Report Tables'!AH$1,'DATA INPUT'!$A$3:$A$3000,"&gt;="&amp;DATE(2022,10,1),'DATA INPUT'!$A$3:$A$3000,"&lt;"&amp;DATE(2022,10,31),'DATA INPUT'!$F$3:$F$3000,"&lt;&gt;*Exclude*"))))</f>
        <v>#N/A</v>
      </c>
      <c r="AI72" s="136" t="e">
        <f t="shared" si="23"/>
        <v>#N/A</v>
      </c>
      <c r="AJ72" s="136" t="e">
        <f>IF($L$2="Yes",IF(SUMIFS('DATA INPUT'!$D$3:$D$3000,'DATA INPUT'!$A$3:$A$3000,"&gt;="&amp;DATE(2022,10,1),'DATA INPUT'!$A$3:$A$3000,"&lt;"&amp;DATE(2022,10,31),'DATA INPUT'!$G$3:$G$3000,"&lt;&gt;*School service*")=0,#N/A,(SUMIFS('DATA INPUT'!$D$3:$D$3000,'DATA INPUT'!$A$3:$A$3000,"&gt;="&amp;DATE(2022,10,1),'DATA INPUT'!$A$3:$A$3000,"&lt;"&amp;DATE(2022,10,31),'DATA INPUT'!$G$3:$G$3000,"&lt;&gt;*School service*"))),IF(SUMIFS('DATA INPUT'!$D$3:$D$3000,'DATA INPUT'!$A$3:$A$3000,"&gt;="&amp;DATE(2022,10,1),'DATA INPUT'!$A$3:$A$3000,"&lt;"&amp;DATE(2022,10,31),'DATA INPUT'!$F$3:$F$3000,"&lt;&gt;*Exclude*",'DATA INPUT'!$G$3:$G$3000,"&lt;&gt;*School service*")=0,#N/A,(SUMIFS('DATA INPUT'!$D$3:$D$3000,'DATA INPUT'!$A$3:$A$3000,"&gt;="&amp;DATE(2022,10,1),'DATA INPUT'!$A$3:$A$3000,"&lt;"&amp;DATE(2022,10,31),'DATA INPUT'!$F$3:$F$3000,"&lt;&gt;*Exclude*",'DATA INPUT'!$G$3:$G$3000,"&lt;&gt;*School service*"))))</f>
        <v>#N/A</v>
      </c>
      <c r="AK72" s="136" t="e">
        <f>AI72-AJ72</f>
        <v>#N/A</v>
      </c>
      <c r="AM72" s="117" t="e">
        <f>IF($L$2="Yes",IFERROR((SUMIFS('DATA INPUT'!$E$3:$E$3000,'DATA INPUT'!$B$3:$B$3000,'Report Tables'!AM$1,'DATA INPUT'!$A$3:$A$3000,"&gt;="&amp;DATE(2022,10,1),'DATA INPUT'!$A$3:$A$3000,"&lt;"&amp;DATE(2022,10,31)))/COUNTIFS('DATA INPUT'!$B$3:$B$3000,'Report Tables'!AM$1,'DATA INPUT'!$A$3:$A$3000,"&gt;="&amp;DATE(2022,10,1),'DATA INPUT'!$A$3:$A$3000,"&lt;"&amp;DATE(2022,10,31)),#N/A),IFERROR((SUMIFS('DATA INPUT'!$E$3:$E$3000,'DATA INPUT'!$B$3:$B$3000,'Report Tables'!AM$1,'DATA INPUT'!$A$3:$A$3000,"&gt;="&amp;DATE(2022,10,1),'DATA INPUT'!$A$3:$A$3000,"&lt;"&amp;DATE(2022,10,31),'DATA INPUT'!$F$3:$F$3000,"&lt;&gt;*Exclude*"))/(COUNTIFS('DATA INPUT'!$B$3:$B$3000,'Report Tables'!AM$1,'DATA INPUT'!$A$3:$A$3000,"&gt;="&amp;DATE(2022,10,1),'DATA INPUT'!$A$3:$A$3000,"&lt;"&amp;DATE(2022,10,31),'DATA INPUT'!$F$3:$F$3000,"&lt;&gt;*Exclude*")),#N/A))</f>
        <v>#N/A</v>
      </c>
      <c r="AN72" s="117" t="e">
        <f>IF($L$2="Yes",IFERROR((SUMIFS('DATA INPUT'!$E$3:$E$3000,'DATA INPUT'!$B$3:$B$3000,'Report Tables'!AN$1,'DATA INPUT'!$A$3:$A$3000,"&gt;="&amp;DATE(2022,10,1),'DATA INPUT'!$A$3:$A$3000,"&lt;"&amp;DATE(2022,10,31)))/COUNTIFS('DATA INPUT'!$B$3:$B$3000,'Report Tables'!AN$1,'DATA INPUT'!$A$3:$A$3000,"&gt;="&amp;DATE(2022,10,1),'DATA INPUT'!$A$3:$A$3000,"&lt;"&amp;DATE(2022,10,31)),#N/A),IFERROR((SUMIFS('DATA INPUT'!$E$3:$E$3000,'DATA INPUT'!$B$3:$B$3000,'Report Tables'!AN$1,'DATA INPUT'!$A$3:$A$3000,"&gt;="&amp;DATE(2022,10,1),'DATA INPUT'!$A$3:$A$3000,"&lt;"&amp;DATE(2022,10,31),'DATA INPUT'!$F$3:$F$3000,"&lt;&gt;*Exclude*"))/(COUNTIFS('DATA INPUT'!$B$3:$B$3000,'Report Tables'!AN$1,'DATA INPUT'!$A$3:$A$3000,"&gt;="&amp;DATE(2022,10,1),'DATA INPUT'!$A$3:$A$3000,"&lt;"&amp;DATE(2022,10,31),'DATA INPUT'!$F$3:$F$3000,"&lt;&gt;*Exclude*")),#N/A))</f>
        <v>#N/A</v>
      </c>
      <c r="AO72" s="117" t="e">
        <f>IF($L$2="Yes",IFERROR((SUMIFS('DATA INPUT'!$E$3:$E$3000,'DATA INPUT'!$B$3:$B$3000,'Report Tables'!AO$1,'DATA INPUT'!$A$3:$A$3000,"&gt;="&amp;DATE(2022,10,1),'DATA INPUT'!$A$3:$A$3000,"&lt;"&amp;DATE(2022,10,31)))/COUNTIFS('DATA INPUT'!$B$3:$B$3000,'Report Tables'!AO$1,'DATA INPUT'!$A$3:$A$3000,"&gt;="&amp;DATE(2022,10,1),'DATA INPUT'!$A$3:$A$3000,"&lt;"&amp;DATE(2022,10,31)),#N/A),IFERROR((SUMIFS('DATA INPUT'!$E$3:$E$3000,'DATA INPUT'!$B$3:$B$3000,'Report Tables'!AO$1,'DATA INPUT'!$A$3:$A$3000,"&gt;="&amp;DATE(2022,10,1),'DATA INPUT'!$A$3:$A$3000,"&lt;"&amp;DATE(2022,10,31),'DATA INPUT'!$F$3:$F$3000,"&lt;&gt;*Exclude*"))/(COUNTIFS('DATA INPUT'!$B$3:$B$3000,'Report Tables'!AO$1,'DATA INPUT'!$A$3:$A$3000,"&gt;="&amp;DATE(2022,10,1),'DATA INPUT'!$A$3:$A$3000,"&lt;"&amp;DATE(2022,10,31),'DATA INPUT'!$F$3:$F$3000,"&lt;&gt;*Exclude*")),#N/A))</f>
        <v>#N/A</v>
      </c>
      <c r="AP72" s="117" t="e">
        <f>IF($L$2="Yes",IFERROR((SUMIFS('DATA INPUT'!$E$3:$E$3000,'DATA INPUT'!$B$3:$B$3000,'Report Tables'!AP$1,'DATA INPUT'!$A$3:$A$3000,"&gt;="&amp;DATE(2022,10,1),'DATA INPUT'!$A$3:$A$3000,"&lt;"&amp;DATE(2022,10,31)))/COUNTIFS('DATA INPUT'!$B$3:$B$3000,'Report Tables'!AP$1,'DATA INPUT'!$A$3:$A$3000,"&gt;="&amp;DATE(2022,10,1),'DATA INPUT'!$A$3:$A$3000,"&lt;"&amp;DATE(2022,10,31)),#N/A),IFERROR((SUMIFS('DATA INPUT'!$E$3:$E$3000,'DATA INPUT'!$B$3:$B$3000,'Report Tables'!AP$1,'DATA INPUT'!$A$3:$A$3000,"&gt;="&amp;DATE(2022,10,1),'DATA INPUT'!$A$3:$A$3000,"&lt;"&amp;DATE(2022,10,31),'DATA INPUT'!$F$3:$F$3000,"&lt;&gt;*Exclude*"))/(COUNTIFS('DATA INPUT'!$B$3:$B$3000,'Report Tables'!AP$1,'DATA INPUT'!$A$3:$A$3000,"&gt;="&amp;DATE(2022,10,1),'DATA INPUT'!$A$3:$A$3000,"&lt;"&amp;DATE(2022,10,31),'DATA INPUT'!$F$3:$F$3000,"&lt;&gt;*Exclude*")),#N/A))</f>
        <v>#N/A</v>
      </c>
      <c r="AQ72" s="117" t="e">
        <f>IF($L$2="Yes",IFERROR((SUMIFS('DATA INPUT'!$E$3:$E$3000,'DATA INPUT'!$B$3:$B$3000,'Report Tables'!AQ$1,'DATA INPUT'!$A$3:$A$3000,"&gt;="&amp;DATE(2022,10,1),'DATA INPUT'!$A$3:$A$3000,"&lt;"&amp;DATE(2022,10,31)))/COUNTIFS('DATA INPUT'!$B$3:$B$3000,'Report Tables'!AQ$1,'DATA INPUT'!$A$3:$A$3000,"&gt;="&amp;DATE(2022,10,1),'DATA INPUT'!$A$3:$A$3000,"&lt;"&amp;DATE(2022,10,31)),#N/A),IFERROR((SUMIFS('DATA INPUT'!$E$3:$E$3000,'DATA INPUT'!$B$3:$B$3000,'Report Tables'!AQ$1,'DATA INPUT'!$A$3:$A$3000,"&gt;="&amp;DATE(2022,10,1),'DATA INPUT'!$A$3:$A$3000,"&lt;"&amp;DATE(2022,10,31),'DATA INPUT'!$F$3:$F$3000,"&lt;&gt;*Exclude*"))/(COUNTIFS('DATA INPUT'!$B$3:$B$3000,'Report Tables'!AQ$1,'DATA INPUT'!$A$3:$A$3000,"&gt;="&amp;DATE(2022,10,1),'DATA INPUT'!$A$3:$A$3000,"&lt;"&amp;DATE(2022,10,31),'DATA INPUT'!$F$3:$F$3000,"&lt;&gt;*Exclude*")),#N/A))</f>
        <v>#N/A</v>
      </c>
      <c r="AR72" s="117" t="e">
        <f>IF($L$2="Yes",IFERROR((SUMIFS('DATA INPUT'!$E$3:$E$3000,'DATA INPUT'!$B$3:$B$3000,'Report Tables'!AR$1,'DATA INPUT'!$A$3:$A$3000,"&gt;="&amp;DATE(2022,10,1),'DATA INPUT'!$A$3:$A$3000,"&lt;"&amp;DATE(2022,10,31)))/COUNTIFS('DATA INPUT'!$B$3:$B$3000,'Report Tables'!AR$1,'DATA INPUT'!$A$3:$A$3000,"&gt;="&amp;DATE(2022,10,1),'DATA INPUT'!$A$3:$A$3000,"&lt;"&amp;DATE(2022,10,31)),#N/A),IFERROR((SUMIFS('DATA INPUT'!$E$3:$E$3000,'DATA INPUT'!$B$3:$B$3000,'Report Tables'!AR$1,'DATA INPUT'!$A$3:$A$3000,"&gt;="&amp;DATE(2022,10,1),'DATA INPUT'!$A$3:$A$3000,"&lt;"&amp;DATE(2022,10,31),'DATA INPUT'!$F$3:$F$3000,"&lt;&gt;*Exclude*"))/(COUNTIFS('DATA INPUT'!$B$3:$B$3000,'Report Tables'!AR$1,'DATA INPUT'!$A$3:$A$3000,"&gt;="&amp;DATE(2022,10,1),'DATA INPUT'!$A$3:$A$3000,"&lt;"&amp;DATE(2022,10,31),'DATA INPUT'!$F$3:$F$3000,"&lt;&gt;*Exclude*")),#N/A))</f>
        <v>#N/A</v>
      </c>
      <c r="AS72" s="117" t="e">
        <f>IF($L$2="Yes",IFERROR((SUMIFS('DATA INPUT'!$E$3:$E$3000,'DATA INPUT'!$B$3:$B$3000,'Report Tables'!AS$1,'DATA INPUT'!$A$3:$A$3000,"&gt;="&amp;DATE(2022,10,1),'DATA INPUT'!$A$3:$A$3000,"&lt;"&amp;DATE(2022,10,31)))/COUNTIFS('DATA INPUT'!$B$3:$B$3000,'Report Tables'!AS$1,'DATA INPUT'!$A$3:$A$3000,"&gt;="&amp;DATE(2022,10,1),'DATA INPUT'!$A$3:$A$3000,"&lt;"&amp;DATE(2022,10,31)),#N/A),IFERROR((SUMIFS('DATA INPUT'!$E$3:$E$3000,'DATA INPUT'!$B$3:$B$3000,'Report Tables'!AS$1,'DATA INPUT'!$A$3:$A$3000,"&gt;="&amp;DATE(2022,10,1),'DATA INPUT'!$A$3:$A$3000,"&lt;"&amp;DATE(2022,10,31),'DATA INPUT'!$F$3:$F$3000,"&lt;&gt;*Exclude*"))/(COUNTIFS('DATA INPUT'!$B$3:$B$3000,'Report Tables'!AS$1,'DATA INPUT'!$A$3:$A$3000,"&gt;="&amp;DATE(2022,10,1),'DATA INPUT'!$A$3:$A$3000,"&lt;"&amp;DATE(2022,10,31),'DATA INPUT'!$F$3:$F$3000,"&lt;&gt;*Exclude*")),#N/A))</f>
        <v>#N/A</v>
      </c>
      <c r="AT72" s="117" t="e">
        <f>IF($L$2="Yes",IFERROR((SUMIFS('DATA INPUT'!$E$3:$E$3000,'DATA INPUT'!$B$3:$B$3000,'Report Tables'!AT$1,'DATA INPUT'!$A$3:$A$3000,"&gt;="&amp;DATE(2022,10,1),'DATA INPUT'!$A$3:$A$3000,"&lt;"&amp;DATE(2022,10,31)))/COUNTIFS('DATA INPUT'!$B$3:$B$3000,'Report Tables'!AT$1,'DATA INPUT'!$A$3:$A$3000,"&gt;="&amp;DATE(2022,10,1),'DATA INPUT'!$A$3:$A$3000,"&lt;"&amp;DATE(2022,10,31)),#N/A),IFERROR((SUMIFS('DATA INPUT'!$E$3:$E$3000,'DATA INPUT'!$B$3:$B$3000,'Report Tables'!AT$1,'DATA INPUT'!$A$3:$A$3000,"&gt;="&amp;DATE(2022,10,1),'DATA INPUT'!$A$3:$A$3000,"&lt;"&amp;DATE(2022,10,31),'DATA INPUT'!$F$3:$F$3000,"&lt;&gt;*Exclude*"))/(COUNTIFS('DATA INPUT'!$B$3:$B$3000,'Report Tables'!AT$1,'DATA INPUT'!$A$3:$A$3000,"&gt;="&amp;DATE(2022,10,1),'DATA INPUT'!$A$3:$A$3000,"&lt;"&amp;DATE(2022,10,31),'DATA INPUT'!$F$3:$F$3000,"&lt;&gt;*Exclude*")),#N/A))</f>
        <v>#N/A</v>
      </c>
      <c r="AU72" s="117" t="e">
        <f t="shared" si="24"/>
        <v>#N/A</v>
      </c>
      <c r="AV72" s="117" t="e">
        <f>IF($L$2="Yes",IFERROR((SUMIFS('DATA INPUT'!$D$3:$D$3000,'DATA INPUT'!$A$3:$A$3000,"&gt;="&amp;DATE(2022,10,1),'DATA INPUT'!$A$3:$A$3000,"&lt;"&amp;DATE(2022,10,31),'DATA INPUT'!$G$3:$G$3000,"&lt;&gt;*School service*"))/COUNTIFS('DATA INPUT'!$A$3:$A$3000,"&gt;="&amp;DATE(2022,10,1),'DATA INPUT'!$A$3:$A$3000,"&lt;"&amp;DATE(2022,10,31),'DATA INPUT'!$G$3:$G$3000,"&lt;&gt;*School service*",'DATA INPUT'!$D$3:$D$3000,"&lt;&gt;"&amp;""),#N/A),IFERROR((SUMIFS('DATA INPUT'!$D$3:$D$3000,'DATA INPUT'!$A$3:$A$3000,"&gt;="&amp;DATE(2022,10,1),'DATA INPUT'!$A$3:$A$3000,"&lt;"&amp;DATE(2022,10,31),'DATA INPUT'!$F$3:$F$3000,"&lt;&gt;*Exclude*",'DATA INPUT'!$G$3:$G$3000,"&lt;&gt;*School service*"))/(COUNTIFS('DATA INPUT'!$A$3:$A$3000,"&gt;="&amp;DATE(2022,10,1),'DATA INPUT'!$A$3:$A$3000,"&lt;"&amp;DATE(2022,10,31),'DATA INPUT'!$F$3:$F$3000,"&lt;&gt;*Exclude*",'DATA INPUT'!$G$3:$G$3000,"&lt;&gt;*School service*",'DATA INPUT'!$D$3:$D$3000,"&lt;&gt;"&amp;"")),#N/A))</f>
        <v>#N/A</v>
      </c>
      <c r="AW72" s="117" t="e">
        <f t="shared" si="25"/>
        <v>#N/A</v>
      </c>
      <c r="AX72" s="117" t="e">
        <f>IF($L$2="Yes",IFERROR((SUMIFS('DATA INPUT'!$E$3:$E$3000,'DATA INPUT'!$B$3:$B$3000,'Report Tables'!AX$1,'DATA INPUT'!$A$3:$A$3000,"&gt;="&amp;DATE(2022,10,1),'DATA INPUT'!$A$3:$A$3000,"&lt;"&amp;DATE(2022,10,31)))/COUNTIFS('DATA INPUT'!$B$3:$B$3000,'Report Tables'!AX$1,'DATA INPUT'!$A$3:$A$3000,"&gt;="&amp;DATE(2022,10,1),'DATA INPUT'!$A$3:$A$3000,"&lt;"&amp;DATE(2022,10,31)),#N/A),IFERROR((SUMIFS('DATA INPUT'!$E$3:$E$3000,'DATA INPUT'!$B$3:$B$3000,'Report Tables'!AX$1,'DATA INPUT'!$A$3:$A$3000,"&gt;="&amp;DATE(2022,10,1),'DATA INPUT'!$A$3:$A$3000,"&lt;"&amp;DATE(2022,10,31),'DATA INPUT'!$F$3:$F$3000,"&lt;&gt;*Exclude*"))/(COUNTIFS('DATA INPUT'!$B$3:$B$3000,'Report Tables'!AX$1,'DATA INPUT'!$A$3:$A$3000,"&gt;="&amp;DATE(2022,10,1),'DATA INPUT'!$A$3:$A$3000,"&lt;"&amp;DATE(2022,10,31),'DATA INPUT'!$F$3:$F$3000,"&lt;&gt;*Exclude*")),#N/A))</f>
        <v>#N/A</v>
      </c>
      <c r="AY72" s="117" t="e">
        <f>IF($L$2="Yes",IFERROR((SUMIFS('DATA INPUT'!$D$3:$D$3000,'DATA INPUT'!$B$3:$B$3000,'Report Tables'!AX$1,'DATA INPUT'!$A$3:$A$3000,"&gt;="&amp;DATE(2022,10,1),'DATA INPUT'!$A$3:$A$3000,"&lt;"&amp;DATE(2022,10,31)))/COUNTIFS('DATA INPUT'!$B$3:$B$3000,'Report Tables'!AX$1,'DATA INPUT'!$A$3:$A$3000,"&gt;="&amp;DATE(2022,10,1),'DATA INPUT'!$A$3:$A$3000,"&lt;"&amp;DATE(2022,10,31)),#N/A),IFERROR((SUMIFS('DATA INPUT'!$D$3:$D$3000,'DATA INPUT'!$B$3:$B$3000,'Report Tables'!AX$1,'DATA INPUT'!$A$3:$A$3000,"&gt;="&amp;DATE(2022,10,1),'DATA INPUT'!$A$3:$A$3000,"&lt;"&amp;DATE(2022,10,31),'DATA INPUT'!$F$3:$F$3000,"&lt;&gt;*Exclude*"))/(COUNTIFS('DATA INPUT'!$B$3:$B$3000,'Report Tables'!AX$1,'DATA INPUT'!$A$3:$A$3000,"&gt;="&amp;DATE(2022,10,1),'DATA INPUT'!$A$3:$A$3000,"&lt;"&amp;DATE(2022,10,31),'DATA INPUT'!$F$3:$F$3000,"&lt;&gt;*Exclude*")),#N/A))</f>
        <v>#N/A</v>
      </c>
      <c r="AZ72" s="117" t="e">
        <f>IF($L$2="Yes",IFERROR((SUMIFS('DATA INPUT'!$C$3:$C$3000,'DATA INPUT'!$B$3:$B$3000,'Report Tables'!AX$1,'DATA INPUT'!$A$3:$A$3000,"&gt;="&amp;DATE(2022,10,1),'DATA INPUT'!$A$3:$A$3000,"&lt;"&amp;DATE(2022,10,31)))/COUNTIFS('DATA INPUT'!$B$3:$B$3000,'Report Tables'!AX$1,'DATA INPUT'!$A$3:$A$3000,"&gt;="&amp;DATE(2022,10,1),'DATA INPUT'!$A$3:$A$3000,"&lt;"&amp;DATE(2022,10,31)),#N/A),IFERROR((SUMIFS('DATA INPUT'!$C$3:$C$3000,'DATA INPUT'!$B$3:$B$3000,'Report Tables'!AX$1,'DATA INPUT'!$A$3:$A$3000,"&gt;="&amp;DATE(2022,10,1),'DATA INPUT'!$A$3:$A$3000,"&lt;"&amp;DATE(2022,10,31),'DATA INPUT'!$F$3:$F$3000,"&lt;&gt;*Exclude*"))/(COUNTIFS('DATA INPUT'!$B$3:$B$3000,'Report Tables'!AX$1,'DATA INPUT'!$A$3:$A$3000,"&gt;="&amp;DATE(2022,10,1),'DATA INPUT'!$A$3:$A$3000,"&lt;"&amp;DATE(2022,10,31),'DATA INPUT'!$F$3:$F$3000,"&lt;&gt;*Exclude*")),#N/A))</f>
        <v>#N/A</v>
      </c>
    </row>
    <row r="73" spans="25:52" x14ac:dyDescent="0.3">
      <c r="Y73" s="149"/>
      <c r="Z73" s="149" t="s">
        <v>22</v>
      </c>
      <c r="AA73" s="136" t="e">
        <f>IF($L$2="Yes",IF(SUMIFS('DATA INPUT'!$E$3:$E$3000,'DATA INPUT'!$B$3:$B$3000,'Report Tables'!AA$1,'DATA INPUT'!$A$3:$A$3000,"&gt;="&amp;DATE(2022,11,1),'DATA INPUT'!$A$3:$A$3000,"&lt;"&amp;DATE(2022,11,31))=0,#N/A,(SUMIFS('DATA INPUT'!$E$3:$E$3000,'DATA INPUT'!$B$3:$B$3000,'Report Tables'!AA$1,'DATA INPUT'!$A$3:$A$3000,"&gt;="&amp;DATE(2022,11,1),'DATA INPUT'!$A$3:$A$3000,"&lt;"&amp;DATE(2022,11,31)))),IF(SUMIFS('DATA INPUT'!$E$3:$E$3000,'DATA INPUT'!$B$3:$B$3000,'Report Tables'!AA$1,'DATA INPUT'!$A$3:$A$3000,"&gt;="&amp;DATE(2022,11,1),'DATA INPUT'!$A$3:$A$3000,"&lt;"&amp;DATE(2022,11,31),'DATA INPUT'!$F$3:$F$3000,"&lt;&gt;*Exclude*")=0,#N/A,(SUMIFS('DATA INPUT'!$E$3:$E$3000,'DATA INPUT'!$B$3:$B$3000,'Report Tables'!AA$1,'DATA INPUT'!$A$3:$A$3000,"&gt;="&amp;DATE(2022,11,1),'DATA INPUT'!$A$3:$A$3000,"&lt;"&amp;DATE(2022,11,31),'DATA INPUT'!$F$3:$F$3000,"&lt;&gt;*Exclude*"))))</f>
        <v>#N/A</v>
      </c>
      <c r="AB73" s="136" t="e">
        <f>IF($L$2="Yes",IF(SUMIFS('DATA INPUT'!$E$3:$E$3000,'DATA INPUT'!$B$3:$B$3000,'Report Tables'!AB$1,'DATA INPUT'!$A$3:$A$3000,"&gt;="&amp;DATE(2022,11,1),'DATA INPUT'!$A$3:$A$3000,"&lt;"&amp;DATE(2022,11,31))=0,#N/A,(SUMIFS('DATA INPUT'!$E$3:$E$3000,'DATA INPUT'!$B$3:$B$3000,'Report Tables'!AB$1,'DATA INPUT'!$A$3:$A$3000,"&gt;="&amp;DATE(2022,11,1),'DATA INPUT'!$A$3:$A$3000,"&lt;"&amp;DATE(2022,11,31)))),IF(SUMIFS('DATA INPUT'!$E$3:$E$3000,'DATA INPUT'!$B$3:$B$3000,'Report Tables'!AB$1,'DATA INPUT'!$A$3:$A$3000,"&gt;="&amp;DATE(2022,11,1),'DATA INPUT'!$A$3:$A$3000,"&lt;"&amp;DATE(2022,11,31),'DATA INPUT'!$F$3:$F$3000,"&lt;&gt;*Exclude*")=0,#N/A,(SUMIFS('DATA INPUT'!$E$3:$E$3000,'DATA INPUT'!$B$3:$B$3000,'Report Tables'!AB$1,'DATA INPUT'!$A$3:$A$3000,"&gt;="&amp;DATE(2022,11,1),'DATA INPUT'!$A$3:$A$3000,"&lt;"&amp;DATE(2022,11,31),'DATA INPUT'!$F$3:$F$3000,"&lt;&gt;*Exclude*"))))</f>
        <v>#N/A</v>
      </c>
      <c r="AC73" s="136" t="e">
        <f>IF($L$2="Yes",IF(SUMIFS('DATA INPUT'!$E$3:$E$3000,'DATA INPUT'!$B$3:$B$3000,'Report Tables'!AC$1,'DATA INPUT'!$A$3:$A$3000,"&gt;="&amp;DATE(2022,11,1),'DATA INPUT'!$A$3:$A$3000,"&lt;"&amp;DATE(2022,11,31))=0,#N/A,(SUMIFS('DATA INPUT'!$E$3:$E$3000,'DATA INPUT'!$B$3:$B$3000,'Report Tables'!AC$1,'DATA INPUT'!$A$3:$A$3000,"&gt;="&amp;DATE(2022,11,1),'DATA INPUT'!$A$3:$A$3000,"&lt;"&amp;DATE(2022,11,31)))),IF(SUMIFS('DATA INPUT'!$E$3:$E$3000,'DATA INPUT'!$B$3:$B$3000,'Report Tables'!AC$1,'DATA INPUT'!$A$3:$A$3000,"&gt;="&amp;DATE(2022,11,1),'DATA INPUT'!$A$3:$A$3000,"&lt;"&amp;DATE(2022,11,31),'DATA INPUT'!$F$3:$F$3000,"&lt;&gt;*Exclude*")=0,#N/A,(SUMIFS('DATA INPUT'!$E$3:$E$3000,'DATA INPUT'!$B$3:$B$3000,'Report Tables'!AC$1,'DATA INPUT'!$A$3:$A$3000,"&gt;="&amp;DATE(2022,11,1),'DATA INPUT'!$A$3:$A$3000,"&lt;"&amp;DATE(2022,11,31),'DATA INPUT'!$F$3:$F$3000,"&lt;&gt;*Exclude*"))))</f>
        <v>#N/A</v>
      </c>
      <c r="AD73" s="136" t="e">
        <f>IF($L$2="Yes",IF(SUMIFS('DATA INPUT'!$E$3:$E$3000,'DATA INPUT'!$B$3:$B$3000,'Report Tables'!AD$1,'DATA INPUT'!$A$3:$A$3000,"&gt;="&amp;DATE(2022,11,1),'DATA INPUT'!$A$3:$A$3000,"&lt;"&amp;DATE(2022,11,31))=0,#N/A,(SUMIFS('DATA INPUT'!$E$3:$E$3000,'DATA INPUT'!$B$3:$B$3000,'Report Tables'!AD$1,'DATA INPUT'!$A$3:$A$3000,"&gt;="&amp;DATE(2022,11,1),'DATA INPUT'!$A$3:$A$3000,"&lt;"&amp;DATE(2022,11,31)))),IF(SUMIFS('DATA INPUT'!$E$3:$E$3000,'DATA INPUT'!$B$3:$B$3000,'Report Tables'!AD$1,'DATA INPUT'!$A$3:$A$3000,"&gt;="&amp;DATE(2022,11,1),'DATA INPUT'!$A$3:$A$3000,"&lt;"&amp;DATE(2022,11,31),'DATA INPUT'!$F$3:$F$3000,"&lt;&gt;*Exclude*")=0,#N/A,(SUMIFS('DATA INPUT'!$E$3:$E$3000,'DATA INPUT'!$B$3:$B$3000,'Report Tables'!AD$1,'DATA INPUT'!$A$3:$A$3000,"&gt;="&amp;DATE(2022,11,1),'DATA INPUT'!$A$3:$A$3000,"&lt;"&amp;DATE(2022,11,31),'DATA INPUT'!$F$3:$F$3000,"&lt;&gt;*Exclude*"))))</f>
        <v>#N/A</v>
      </c>
      <c r="AE73" s="136" t="e">
        <f>IF($L$2="Yes",IF(SUMIFS('DATA INPUT'!$E$3:$E$3000,'DATA INPUT'!$B$3:$B$3000,'Report Tables'!AE$1,'DATA INPUT'!$A$3:$A$3000,"&gt;="&amp;DATE(2022,11,1),'DATA INPUT'!$A$3:$A$3000,"&lt;"&amp;DATE(2022,11,31))=0,#N/A,(SUMIFS('DATA INPUT'!$E$3:$E$3000,'DATA INPUT'!$B$3:$B$3000,'Report Tables'!AE$1,'DATA INPUT'!$A$3:$A$3000,"&gt;="&amp;DATE(2022,11,1),'DATA INPUT'!$A$3:$A$3000,"&lt;"&amp;DATE(2022,11,31)))),IF(SUMIFS('DATA INPUT'!$E$3:$E$3000,'DATA INPUT'!$B$3:$B$3000,'Report Tables'!AE$1,'DATA INPUT'!$A$3:$A$3000,"&gt;="&amp;DATE(2022,11,1),'DATA INPUT'!$A$3:$A$3000,"&lt;"&amp;DATE(2022,11,31),'DATA INPUT'!$F$3:$F$3000,"&lt;&gt;*Exclude*")=0,#N/A,(SUMIFS('DATA INPUT'!$E$3:$E$3000,'DATA INPUT'!$B$3:$B$3000,'Report Tables'!AE$1,'DATA INPUT'!$A$3:$A$3000,"&gt;="&amp;DATE(2022,11,1),'DATA INPUT'!$A$3:$A$3000,"&lt;"&amp;DATE(2022,11,31),'DATA INPUT'!$F$3:$F$3000,"&lt;&gt;*Exclude*"))))</f>
        <v>#N/A</v>
      </c>
      <c r="AF73" s="136" t="e">
        <f>IF($L$2="Yes",IF(SUMIFS('DATA INPUT'!$E$3:$E$3000,'DATA INPUT'!$B$3:$B$3000,'Report Tables'!AF$1,'DATA INPUT'!$A$3:$A$3000,"&gt;="&amp;DATE(2022,11,1),'DATA INPUT'!$A$3:$A$3000,"&lt;"&amp;DATE(2022,11,31))=0,#N/A,(SUMIFS('DATA INPUT'!$E$3:$E$3000,'DATA INPUT'!$B$3:$B$3000,'Report Tables'!AF$1,'DATA INPUT'!$A$3:$A$3000,"&gt;="&amp;DATE(2022,11,1),'DATA INPUT'!$A$3:$A$3000,"&lt;"&amp;DATE(2022,11,31)))),IF(SUMIFS('DATA INPUT'!$E$3:$E$3000,'DATA INPUT'!$B$3:$B$3000,'Report Tables'!AF$1,'DATA INPUT'!$A$3:$A$3000,"&gt;="&amp;DATE(2022,11,1),'DATA INPUT'!$A$3:$A$3000,"&lt;"&amp;DATE(2022,11,31),'DATA INPUT'!$F$3:$F$3000,"&lt;&gt;*Exclude*")=0,#N/A,(SUMIFS('DATA INPUT'!$E$3:$E$3000,'DATA INPUT'!$B$3:$B$3000,'Report Tables'!AF$1,'DATA INPUT'!$A$3:$A$3000,"&gt;="&amp;DATE(2022,11,1),'DATA INPUT'!$A$3:$A$3000,"&lt;"&amp;DATE(2022,11,31),'DATA INPUT'!$F$3:$F$3000,"&lt;&gt;*Exclude*"))))</f>
        <v>#N/A</v>
      </c>
      <c r="AG73" s="136" t="e">
        <f>IF($L$2="Yes",IF(SUMIFS('DATA INPUT'!$E$3:$E$3000,'DATA INPUT'!$B$3:$B$3000,'Report Tables'!AG$1,'DATA INPUT'!$A$3:$A$3000,"&gt;="&amp;DATE(2022,11,1),'DATA INPUT'!$A$3:$A$3000,"&lt;"&amp;DATE(2022,11,31))=0,#N/A,(SUMIFS('DATA INPUT'!$E$3:$E$3000,'DATA INPUT'!$B$3:$B$3000,'Report Tables'!AG$1,'DATA INPUT'!$A$3:$A$3000,"&gt;="&amp;DATE(2022,11,1),'DATA INPUT'!$A$3:$A$3000,"&lt;"&amp;DATE(2022,11,31)))),IF(SUMIFS('DATA INPUT'!$E$3:$E$3000,'DATA INPUT'!$B$3:$B$3000,'Report Tables'!AG$1,'DATA INPUT'!$A$3:$A$3000,"&gt;="&amp;DATE(2022,11,1),'DATA INPUT'!$A$3:$A$3000,"&lt;"&amp;DATE(2022,11,31),'DATA INPUT'!$F$3:$F$3000,"&lt;&gt;*Exclude*")=0,#N/A,(SUMIFS('DATA INPUT'!$E$3:$E$3000,'DATA INPUT'!$B$3:$B$3000,'Report Tables'!AG$1,'DATA INPUT'!$A$3:$A$3000,"&gt;="&amp;DATE(2022,11,1),'DATA INPUT'!$A$3:$A$3000,"&lt;"&amp;DATE(2022,11,31),'DATA INPUT'!$F$3:$F$3000,"&lt;&gt;*Exclude*"))))</f>
        <v>#N/A</v>
      </c>
      <c r="AH73" s="136" t="e">
        <f>IF($L$2="Yes",IF(SUMIFS('DATA INPUT'!$E$3:$E$3000,'DATA INPUT'!$B$3:$B$3000,'Report Tables'!AH$1,'DATA INPUT'!$A$3:$A$3000,"&gt;="&amp;DATE(2022,11,1),'DATA INPUT'!$A$3:$A$3000,"&lt;"&amp;DATE(2022,11,31))=0,#N/A,(SUMIFS('DATA INPUT'!$E$3:$E$3000,'DATA INPUT'!$B$3:$B$3000,'Report Tables'!AH$1,'DATA INPUT'!$A$3:$A$3000,"&gt;="&amp;DATE(2022,11,1),'DATA INPUT'!$A$3:$A$3000,"&lt;"&amp;DATE(2022,11,31)))),IF(SUMIFS('DATA INPUT'!$E$3:$E$3000,'DATA INPUT'!$B$3:$B$3000,'Report Tables'!AH$1,'DATA INPUT'!$A$3:$A$3000,"&gt;="&amp;DATE(2022,11,1),'DATA INPUT'!$A$3:$A$3000,"&lt;"&amp;DATE(2022,11,31),'DATA INPUT'!$F$3:$F$3000,"&lt;&gt;*Exclude*")=0,#N/A,(SUMIFS('DATA INPUT'!$E$3:$E$3000,'DATA INPUT'!$B$3:$B$3000,'Report Tables'!AH$1,'DATA INPUT'!$A$3:$A$3000,"&gt;="&amp;DATE(2022,11,1),'DATA INPUT'!$A$3:$A$3000,"&lt;"&amp;DATE(2022,11,31),'DATA INPUT'!$F$3:$F$3000,"&lt;&gt;*Exclude*"))))</f>
        <v>#N/A</v>
      </c>
      <c r="AI73" s="136" t="e">
        <f t="shared" si="23"/>
        <v>#N/A</v>
      </c>
      <c r="AJ73" s="136" t="e">
        <f>IF($L$2="Yes",IF(SUMIFS('DATA INPUT'!$D$3:$D$3000,'DATA INPUT'!$A$3:$A$3000,"&gt;="&amp;DATE(2022,11,1),'DATA INPUT'!$A$3:$A$3000,"&lt;"&amp;DATE(2022,11,31),'DATA INPUT'!$G$3:$G$3000,"&lt;&gt;*School service*")=0,#N/A,(SUMIFS('DATA INPUT'!$D$3:$D$3000,'DATA INPUT'!$A$3:$A$3000,"&gt;="&amp;DATE(2022,11,1),'DATA INPUT'!$A$3:$A$3000,"&lt;"&amp;DATE(2022,11,31),'DATA INPUT'!$G$3:$G$3000,"&lt;&gt;*School service*"))),IF(SUMIFS('DATA INPUT'!$D$3:$D$3000,'DATA INPUT'!$A$3:$A$3000,"&gt;="&amp;DATE(2022,11,1),'DATA INPUT'!$A$3:$A$3000,"&lt;"&amp;DATE(2022,11,31),'DATA INPUT'!$F$3:$F$3000,"&lt;&gt;*Exclude*",'DATA INPUT'!$G$3:$G$3000,"&lt;&gt;*School service*")=0,#N/A,(SUMIFS('DATA INPUT'!$D$3:$D$3000,'DATA INPUT'!$A$3:$A$3000,"&gt;="&amp;DATE(2022,11,1),'DATA INPUT'!$A$3:$A$3000,"&lt;"&amp;DATE(2022,11,31),'DATA INPUT'!$F$3:$F$3000,"&lt;&gt;*Exclude*",'DATA INPUT'!$G$3:$G$3000,"&lt;&gt;*School service*"))))</f>
        <v>#N/A</v>
      </c>
      <c r="AK73" s="136" t="e">
        <f>AI73-AJ73</f>
        <v>#N/A</v>
      </c>
      <c r="AM73" s="117" t="e">
        <f>IF($L$2="Yes",IFERROR((SUMIFS('DATA INPUT'!$E$3:$E$3000,'DATA INPUT'!$B$3:$B$3000,'Report Tables'!AM$1,'DATA INPUT'!$A$3:$A$3000,"&gt;="&amp;DATE(2022,11,1),'DATA INPUT'!$A$3:$A$3000,"&lt;"&amp;DATE(2022,11,31)))/COUNTIFS('DATA INPUT'!$B$3:$B$3000,'Report Tables'!AM$1,'DATA INPUT'!$A$3:$A$3000,"&gt;="&amp;DATE(2022,11,1),'DATA INPUT'!$A$3:$A$3000,"&lt;"&amp;DATE(2022,11,31)),#N/A),IFERROR((SUMIFS('DATA INPUT'!$E$3:$E$3000,'DATA INPUT'!$B$3:$B$3000,'Report Tables'!AM$1,'DATA INPUT'!$A$3:$A$3000,"&gt;="&amp;DATE(2022,11,1),'DATA INPUT'!$A$3:$A$3000,"&lt;"&amp;DATE(2022,11,31),'DATA INPUT'!$F$3:$F$3000,"&lt;&gt;*Exclude*"))/(COUNTIFS('DATA INPUT'!$B$3:$B$3000,'Report Tables'!AM$1,'DATA INPUT'!$A$3:$A$3000,"&gt;="&amp;DATE(2022,11,1),'DATA INPUT'!$A$3:$A$3000,"&lt;"&amp;DATE(2022,11,31),'DATA INPUT'!$F$3:$F$3000,"&lt;&gt;*Exclude*")),#N/A))</f>
        <v>#N/A</v>
      </c>
      <c r="AN73" s="117" t="e">
        <f>IF($L$2="Yes",IFERROR((SUMIFS('DATA INPUT'!$E$3:$E$3000,'DATA INPUT'!$B$3:$B$3000,'Report Tables'!AN$1,'DATA INPUT'!$A$3:$A$3000,"&gt;="&amp;DATE(2022,11,1),'DATA INPUT'!$A$3:$A$3000,"&lt;"&amp;DATE(2022,11,31)))/COUNTIFS('DATA INPUT'!$B$3:$B$3000,'Report Tables'!AN$1,'DATA INPUT'!$A$3:$A$3000,"&gt;="&amp;DATE(2022,11,1),'DATA INPUT'!$A$3:$A$3000,"&lt;"&amp;DATE(2022,11,31)),#N/A),IFERROR((SUMIFS('DATA INPUT'!$E$3:$E$3000,'DATA INPUT'!$B$3:$B$3000,'Report Tables'!AN$1,'DATA INPUT'!$A$3:$A$3000,"&gt;="&amp;DATE(2022,11,1),'DATA INPUT'!$A$3:$A$3000,"&lt;"&amp;DATE(2022,11,31),'DATA INPUT'!$F$3:$F$3000,"&lt;&gt;*Exclude*"))/(COUNTIFS('DATA INPUT'!$B$3:$B$3000,'Report Tables'!AN$1,'DATA INPUT'!$A$3:$A$3000,"&gt;="&amp;DATE(2022,11,1),'DATA INPUT'!$A$3:$A$3000,"&lt;"&amp;DATE(2022,11,31),'DATA INPUT'!$F$3:$F$3000,"&lt;&gt;*Exclude*")),#N/A))</f>
        <v>#N/A</v>
      </c>
      <c r="AO73" s="117" t="e">
        <f>IF($L$2="Yes",IFERROR((SUMIFS('DATA INPUT'!$E$3:$E$3000,'DATA INPUT'!$B$3:$B$3000,'Report Tables'!AO$1,'DATA INPUT'!$A$3:$A$3000,"&gt;="&amp;DATE(2022,11,1),'DATA INPUT'!$A$3:$A$3000,"&lt;"&amp;DATE(2022,11,31)))/COUNTIFS('DATA INPUT'!$B$3:$B$3000,'Report Tables'!AO$1,'DATA INPUT'!$A$3:$A$3000,"&gt;="&amp;DATE(2022,11,1),'DATA INPUT'!$A$3:$A$3000,"&lt;"&amp;DATE(2022,11,31)),#N/A),IFERROR((SUMIFS('DATA INPUT'!$E$3:$E$3000,'DATA INPUT'!$B$3:$B$3000,'Report Tables'!AO$1,'DATA INPUT'!$A$3:$A$3000,"&gt;="&amp;DATE(2022,11,1),'DATA INPUT'!$A$3:$A$3000,"&lt;"&amp;DATE(2022,11,31),'DATA INPUT'!$F$3:$F$3000,"&lt;&gt;*Exclude*"))/(COUNTIFS('DATA INPUT'!$B$3:$B$3000,'Report Tables'!AO$1,'DATA INPUT'!$A$3:$A$3000,"&gt;="&amp;DATE(2022,11,1),'DATA INPUT'!$A$3:$A$3000,"&lt;"&amp;DATE(2022,11,31),'DATA INPUT'!$F$3:$F$3000,"&lt;&gt;*Exclude*")),#N/A))</f>
        <v>#N/A</v>
      </c>
      <c r="AP73" s="117" t="e">
        <f>IF($L$2="Yes",IFERROR((SUMIFS('DATA INPUT'!$E$3:$E$3000,'DATA INPUT'!$B$3:$B$3000,'Report Tables'!AP$1,'DATA INPUT'!$A$3:$A$3000,"&gt;="&amp;DATE(2022,11,1),'DATA INPUT'!$A$3:$A$3000,"&lt;"&amp;DATE(2022,11,31)))/COUNTIFS('DATA INPUT'!$B$3:$B$3000,'Report Tables'!AP$1,'DATA INPUT'!$A$3:$A$3000,"&gt;="&amp;DATE(2022,11,1),'DATA INPUT'!$A$3:$A$3000,"&lt;"&amp;DATE(2022,11,31)),#N/A),IFERROR((SUMIFS('DATA INPUT'!$E$3:$E$3000,'DATA INPUT'!$B$3:$B$3000,'Report Tables'!AP$1,'DATA INPUT'!$A$3:$A$3000,"&gt;="&amp;DATE(2022,11,1),'DATA INPUT'!$A$3:$A$3000,"&lt;"&amp;DATE(2022,11,31),'DATA INPUT'!$F$3:$F$3000,"&lt;&gt;*Exclude*"))/(COUNTIFS('DATA INPUT'!$B$3:$B$3000,'Report Tables'!AP$1,'DATA INPUT'!$A$3:$A$3000,"&gt;="&amp;DATE(2022,11,1),'DATA INPUT'!$A$3:$A$3000,"&lt;"&amp;DATE(2022,11,31),'DATA INPUT'!$F$3:$F$3000,"&lt;&gt;*Exclude*")),#N/A))</f>
        <v>#N/A</v>
      </c>
      <c r="AQ73" s="117" t="e">
        <f>IF($L$2="Yes",IFERROR((SUMIFS('DATA INPUT'!$E$3:$E$3000,'DATA INPUT'!$B$3:$B$3000,'Report Tables'!AQ$1,'DATA INPUT'!$A$3:$A$3000,"&gt;="&amp;DATE(2022,11,1),'DATA INPUT'!$A$3:$A$3000,"&lt;"&amp;DATE(2022,11,31)))/COUNTIFS('DATA INPUT'!$B$3:$B$3000,'Report Tables'!AQ$1,'DATA INPUT'!$A$3:$A$3000,"&gt;="&amp;DATE(2022,11,1),'DATA INPUT'!$A$3:$A$3000,"&lt;"&amp;DATE(2022,11,31)),#N/A),IFERROR((SUMIFS('DATA INPUT'!$E$3:$E$3000,'DATA INPUT'!$B$3:$B$3000,'Report Tables'!AQ$1,'DATA INPUT'!$A$3:$A$3000,"&gt;="&amp;DATE(2022,11,1),'DATA INPUT'!$A$3:$A$3000,"&lt;"&amp;DATE(2022,11,31),'DATA INPUT'!$F$3:$F$3000,"&lt;&gt;*Exclude*"))/(COUNTIFS('DATA INPUT'!$B$3:$B$3000,'Report Tables'!AQ$1,'DATA INPUT'!$A$3:$A$3000,"&gt;="&amp;DATE(2022,11,1),'DATA INPUT'!$A$3:$A$3000,"&lt;"&amp;DATE(2022,11,31),'DATA INPUT'!$F$3:$F$3000,"&lt;&gt;*Exclude*")),#N/A))</f>
        <v>#N/A</v>
      </c>
      <c r="AR73" s="117" t="e">
        <f>IF($L$2="Yes",IFERROR((SUMIFS('DATA INPUT'!$E$3:$E$3000,'DATA INPUT'!$B$3:$B$3000,'Report Tables'!AR$1,'DATA INPUT'!$A$3:$A$3000,"&gt;="&amp;DATE(2022,11,1),'DATA INPUT'!$A$3:$A$3000,"&lt;"&amp;DATE(2022,11,31)))/COUNTIFS('DATA INPUT'!$B$3:$B$3000,'Report Tables'!AR$1,'DATA INPUT'!$A$3:$A$3000,"&gt;="&amp;DATE(2022,11,1),'DATA INPUT'!$A$3:$A$3000,"&lt;"&amp;DATE(2022,11,31)),#N/A),IFERROR((SUMIFS('DATA INPUT'!$E$3:$E$3000,'DATA INPUT'!$B$3:$B$3000,'Report Tables'!AR$1,'DATA INPUT'!$A$3:$A$3000,"&gt;="&amp;DATE(2022,11,1),'DATA INPUT'!$A$3:$A$3000,"&lt;"&amp;DATE(2022,11,31),'DATA INPUT'!$F$3:$F$3000,"&lt;&gt;*Exclude*"))/(COUNTIFS('DATA INPUT'!$B$3:$B$3000,'Report Tables'!AR$1,'DATA INPUT'!$A$3:$A$3000,"&gt;="&amp;DATE(2022,11,1),'DATA INPUT'!$A$3:$A$3000,"&lt;"&amp;DATE(2022,11,31),'DATA INPUT'!$F$3:$F$3000,"&lt;&gt;*Exclude*")),#N/A))</f>
        <v>#N/A</v>
      </c>
      <c r="AS73" s="117" t="e">
        <f>IF($L$2="Yes",IFERROR((SUMIFS('DATA INPUT'!$E$3:$E$3000,'DATA INPUT'!$B$3:$B$3000,'Report Tables'!AS$1,'DATA INPUT'!$A$3:$A$3000,"&gt;="&amp;DATE(2022,11,1),'DATA INPUT'!$A$3:$A$3000,"&lt;"&amp;DATE(2022,11,31)))/COUNTIFS('DATA INPUT'!$B$3:$B$3000,'Report Tables'!AS$1,'DATA INPUT'!$A$3:$A$3000,"&gt;="&amp;DATE(2022,11,1),'DATA INPUT'!$A$3:$A$3000,"&lt;"&amp;DATE(2022,11,31)),#N/A),IFERROR((SUMIFS('DATA INPUT'!$E$3:$E$3000,'DATA INPUT'!$B$3:$B$3000,'Report Tables'!AS$1,'DATA INPUT'!$A$3:$A$3000,"&gt;="&amp;DATE(2022,11,1),'DATA INPUT'!$A$3:$A$3000,"&lt;"&amp;DATE(2022,11,31),'DATA INPUT'!$F$3:$F$3000,"&lt;&gt;*Exclude*"))/(COUNTIFS('DATA INPUT'!$B$3:$B$3000,'Report Tables'!AS$1,'DATA INPUT'!$A$3:$A$3000,"&gt;="&amp;DATE(2022,11,1),'DATA INPUT'!$A$3:$A$3000,"&lt;"&amp;DATE(2022,11,31),'DATA INPUT'!$F$3:$F$3000,"&lt;&gt;*Exclude*")),#N/A))</f>
        <v>#N/A</v>
      </c>
      <c r="AT73" s="117" t="e">
        <f>IF($L$2="Yes",IFERROR((SUMIFS('DATA INPUT'!$E$3:$E$3000,'DATA INPUT'!$B$3:$B$3000,'Report Tables'!AT$1,'DATA INPUT'!$A$3:$A$3000,"&gt;="&amp;DATE(2022,11,1),'DATA INPUT'!$A$3:$A$3000,"&lt;"&amp;DATE(2022,11,31)))/COUNTIFS('DATA INPUT'!$B$3:$B$3000,'Report Tables'!AT$1,'DATA INPUT'!$A$3:$A$3000,"&gt;="&amp;DATE(2022,11,1),'DATA INPUT'!$A$3:$A$3000,"&lt;"&amp;DATE(2022,11,31)),#N/A),IFERROR((SUMIFS('DATA INPUT'!$E$3:$E$3000,'DATA INPUT'!$B$3:$B$3000,'Report Tables'!AT$1,'DATA INPUT'!$A$3:$A$3000,"&gt;="&amp;DATE(2022,11,1),'DATA INPUT'!$A$3:$A$3000,"&lt;"&amp;DATE(2022,11,31),'DATA INPUT'!$F$3:$F$3000,"&lt;&gt;*Exclude*"))/(COUNTIFS('DATA INPUT'!$B$3:$B$3000,'Report Tables'!AT$1,'DATA INPUT'!$A$3:$A$3000,"&gt;="&amp;DATE(2022,11,1),'DATA INPUT'!$A$3:$A$3000,"&lt;"&amp;DATE(2022,11,31),'DATA INPUT'!$F$3:$F$3000,"&lt;&gt;*Exclude*")),#N/A))</f>
        <v>#N/A</v>
      </c>
      <c r="AU73" s="117" t="e">
        <f t="shared" si="24"/>
        <v>#N/A</v>
      </c>
      <c r="AV73" s="117" t="e">
        <f>IF($L$2="Yes",IFERROR((SUMIFS('DATA INPUT'!$D$3:$D$3000,'DATA INPUT'!$A$3:$A$3000,"&gt;="&amp;DATE(2022,11,1),'DATA INPUT'!$A$3:$A$3000,"&lt;"&amp;DATE(2022,11,31),'DATA INPUT'!$G$3:$G$3000,"&lt;&gt;*School service*"))/COUNTIFS('DATA INPUT'!$A$3:$A$3000,"&gt;="&amp;DATE(2022,11,1),'DATA INPUT'!$A$3:$A$3000,"&lt;"&amp;DATE(2022,11,31),'DATA INPUT'!$G$3:$G$3000,"&lt;&gt;*School service*",'DATA INPUT'!$D$3:$D$3000,"&lt;&gt;"&amp;""),#N/A),IFERROR((SUMIFS('DATA INPUT'!$D$3:$D$3000,'DATA INPUT'!$A$3:$A$3000,"&gt;="&amp;DATE(2022,11,1),'DATA INPUT'!$A$3:$A$3000,"&lt;"&amp;DATE(2022,11,31),'DATA INPUT'!$F$3:$F$3000,"&lt;&gt;*Exclude*",'DATA INPUT'!$G$3:$G$3000,"&lt;&gt;*School service*"))/(COUNTIFS('DATA INPUT'!$A$3:$A$3000,"&gt;="&amp;DATE(2022,11,1),'DATA INPUT'!$A$3:$A$3000,"&lt;"&amp;DATE(2022,11,31),'DATA INPUT'!$F$3:$F$3000,"&lt;&gt;*Exclude*",'DATA INPUT'!$G$3:$G$3000,"&lt;&gt;*School service*",'DATA INPUT'!$D$3:$D$3000,"&lt;&gt;"&amp;"")),#N/A))</f>
        <v>#N/A</v>
      </c>
      <c r="AW73" s="117" t="e">
        <f t="shared" si="25"/>
        <v>#N/A</v>
      </c>
      <c r="AX73" s="117" t="e">
        <f>IF($L$2="Yes",IFERROR((SUMIFS('DATA INPUT'!$E$3:$E$3000,'DATA INPUT'!$B$3:$B$3000,'Report Tables'!AX$1,'DATA INPUT'!$A$3:$A$3000,"&gt;="&amp;DATE(2022,11,1),'DATA INPUT'!$A$3:$A$3000,"&lt;"&amp;DATE(2022,11,31)))/COUNTIFS('DATA INPUT'!$B$3:$B$3000,'Report Tables'!AX$1,'DATA INPUT'!$A$3:$A$3000,"&gt;="&amp;DATE(2022,11,1),'DATA INPUT'!$A$3:$A$3000,"&lt;"&amp;DATE(2022,11,31)),#N/A),IFERROR((SUMIFS('DATA INPUT'!$E$3:$E$3000,'DATA INPUT'!$B$3:$B$3000,'Report Tables'!AX$1,'DATA INPUT'!$A$3:$A$3000,"&gt;="&amp;DATE(2022,11,1),'DATA INPUT'!$A$3:$A$3000,"&lt;"&amp;DATE(2022,11,31),'DATA INPUT'!$F$3:$F$3000,"&lt;&gt;*Exclude*"))/(COUNTIFS('DATA INPUT'!$B$3:$B$3000,'Report Tables'!AX$1,'DATA INPUT'!$A$3:$A$3000,"&gt;="&amp;DATE(2022,11,1),'DATA INPUT'!$A$3:$A$3000,"&lt;"&amp;DATE(2022,11,31),'DATA INPUT'!$F$3:$F$3000,"&lt;&gt;*Exclude*")),#N/A))</f>
        <v>#N/A</v>
      </c>
      <c r="AY73" s="117" t="e">
        <f>IF($L$2="Yes",IFERROR((SUMIFS('DATA INPUT'!$D$3:$D$3000,'DATA INPUT'!$B$3:$B$3000,'Report Tables'!AX$1,'DATA INPUT'!$A$3:$A$3000,"&gt;="&amp;DATE(2022,11,1),'DATA INPUT'!$A$3:$A$3000,"&lt;"&amp;DATE(2022,11,31)))/COUNTIFS('DATA INPUT'!$B$3:$B$3000,'Report Tables'!AX$1,'DATA INPUT'!$A$3:$A$3000,"&gt;="&amp;DATE(2022,11,1),'DATA INPUT'!$A$3:$A$3000,"&lt;"&amp;DATE(2022,11,31)),#N/A),IFERROR((SUMIFS('DATA INPUT'!$D$3:$D$3000,'DATA INPUT'!$B$3:$B$3000,'Report Tables'!AX$1,'DATA INPUT'!$A$3:$A$3000,"&gt;="&amp;DATE(2022,11,1),'DATA INPUT'!$A$3:$A$3000,"&lt;"&amp;DATE(2022,11,31),'DATA INPUT'!$F$3:$F$3000,"&lt;&gt;*Exclude*"))/(COUNTIFS('DATA INPUT'!$B$3:$B$3000,'Report Tables'!AX$1,'DATA INPUT'!$A$3:$A$3000,"&gt;="&amp;DATE(2022,11,1),'DATA INPUT'!$A$3:$A$3000,"&lt;"&amp;DATE(2022,11,31),'DATA INPUT'!$F$3:$F$3000,"&lt;&gt;*Exclude*")),#N/A))</f>
        <v>#N/A</v>
      </c>
      <c r="AZ73" s="117" t="e">
        <f>IF($L$2="Yes",IFERROR((SUMIFS('DATA INPUT'!$C$3:$C$3000,'DATA INPUT'!$B$3:$B$3000,'Report Tables'!AX$1,'DATA INPUT'!$A$3:$A$3000,"&gt;="&amp;DATE(2022,11,1),'DATA INPUT'!$A$3:$A$3000,"&lt;"&amp;DATE(2022,11,31)))/COUNTIFS('DATA INPUT'!$B$3:$B$3000,'Report Tables'!AX$1,'DATA INPUT'!$A$3:$A$3000,"&gt;="&amp;DATE(2022,11,1),'DATA INPUT'!$A$3:$A$3000,"&lt;"&amp;DATE(2022,11,31)),#N/A),IFERROR((SUMIFS('DATA INPUT'!$C$3:$C$3000,'DATA INPUT'!$B$3:$B$3000,'Report Tables'!AX$1,'DATA INPUT'!$A$3:$A$3000,"&gt;="&amp;DATE(2022,11,1),'DATA INPUT'!$A$3:$A$3000,"&lt;"&amp;DATE(2022,11,31),'DATA INPUT'!$F$3:$F$3000,"&lt;&gt;*Exclude*"))/(COUNTIFS('DATA INPUT'!$B$3:$B$3000,'Report Tables'!AX$1,'DATA INPUT'!$A$3:$A$3000,"&gt;="&amp;DATE(2022,11,1),'DATA INPUT'!$A$3:$A$3000,"&lt;"&amp;DATE(2022,11,31),'DATA INPUT'!$F$3:$F$3000,"&lt;&gt;*Exclude*")),#N/A))</f>
        <v>#N/A</v>
      </c>
    </row>
    <row r="74" spans="25:52" x14ac:dyDescent="0.3">
      <c r="Y74" s="149"/>
      <c r="Z74" s="149" t="s">
        <v>23</v>
      </c>
      <c r="AA74" s="136" t="e">
        <f>IF($L$2="Yes",IF(SUMIFS('DATA INPUT'!$E$3:$E$3000,'DATA INPUT'!$B$3:$B$3000,'Report Tables'!AA$1,'DATA INPUT'!$A$3:$A$3000,"&gt;="&amp;DATE(2022,12,1),'DATA INPUT'!$A$3:$A$3000,"&lt;"&amp;DATE(2022,12,31))=0,#N/A,(SUMIFS('DATA INPUT'!$E$3:$E$3000,'DATA INPUT'!$B$3:$B$3000,'Report Tables'!AA$1,'DATA INPUT'!$A$3:$A$3000,"&gt;="&amp;DATE(2022,12,1),'DATA INPUT'!$A$3:$A$3000,"&lt;"&amp;DATE(2022,12,31)))),IF(SUMIFS('DATA INPUT'!$E$3:$E$3000,'DATA INPUT'!$B$3:$B$3000,'Report Tables'!AA$1,'DATA INPUT'!$A$3:$A$3000,"&gt;="&amp;DATE(2022,12,1),'DATA INPUT'!$A$3:$A$3000,"&lt;"&amp;DATE(2022,12,31),'DATA INPUT'!$F$3:$F$3000,"&lt;&gt;*Exclude*")=0,#N/A,(SUMIFS('DATA INPUT'!$E$3:$E$3000,'DATA INPUT'!$B$3:$B$3000,'Report Tables'!AA$1,'DATA INPUT'!$A$3:$A$3000,"&gt;="&amp;DATE(2022,12,1),'DATA INPUT'!$A$3:$A$3000,"&lt;"&amp;DATE(2022,12,31),'DATA INPUT'!$F$3:$F$3000,"&lt;&gt;*Exclude*"))))</f>
        <v>#N/A</v>
      </c>
      <c r="AB74" s="136" t="e">
        <f>IF($L$2="Yes",IF(SUMIFS('DATA INPUT'!$E$3:$E$3000,'DATA INPUT'!$B$3:$B$3000,'Report Tables'!AB$1,'DATA INPUT'!$A$3:$A$3000,"&gt;="&amp;DATE(2022,12,1),'DATA INPUT'!$A$3:$A$3000,"&lt;"&amp;DATE(2022,12,31))=0,#N/A,(SUMIFS('DATA INPUT'!$E$3:$E$3000,'DATA INPUT'!$B$3:$B$3000,'Report Tables'!AB$1,'DATA INPUT'!$A$3:$A$3000,"&gt;="&amp;DATE(2022,12,1),'DATA INPUT'!$A$3:$A$3000,"&lt;"&amp;DATE(2022,12,31)))),IF(SUMIFS('DATA INPUT'!$E$3:$E$3000,'DATA INPUT'!$B$3:$B$3000,'Report Tables'!AB$1,'DATA INPUT'!$A$3:$A$3000,"&gt;="&amp;DATE(2022,12,1),'DATA INPUT'!$A$3:$A$3000,"&lt;"&amp;DATE(2022,12,31),'DATA INPUT'!$F$3:$F$3000,"&lt;&gt;*Exclude*")=0,#N/A,(SUMIFS('DATA INPUT'!$E$3:$E$3000,'DATA INPUT'!$B$3:$B$3000,'Report Tables'!AB$1,'DATA INPUT'!$A$3:$A$3000,"&gt;="&amp;DATE(2022,12,1),'DATA INPUT'!$A$3:$A$3000,"&lt;"&amp;DATE(2022,12,31),'DATA INPUT'!$F$3:$F$3000,"&lt;&gt;*Exclude*"))))</f>
        <v>#N/A</v>
      </c>
      <c r="AC74" s="136" t="e">
        <f>IF($L$2="Yes",IF(SUMIFS('DATA INPUT'!$E$3:$E$3000,'DATA INPUT'!$B$3:$B$3000,'Report Tables'!AC$1,'DATA INPUT'!$A$3:$A$3000,"&gt;="&amp;DATE(2022,12,1),'DATA INPUT'!$A$3:$A$3000,"&lt;"&amp;DATE(2022,12,31))=0,#N/A,(SUMIFS('DATA INPUT'!$E$3:$E$3000,'DATA INPUT'!$B$3:$B$3000,'Report Tables'!AC$1,'DATA INPUT'!$A$3:$A$3000,"&gt;="&amp;DATE(2022,12,1),'DATA INPUT'!$A$3:$A$3000,"&lt;"&amp;DATE(2022,12,31)))),IF(SUMIFS('DATA INPUT'!$E$3:$E$3000,'DATA INPUT'!$B$3:$B$3000,'Report Tables'!AC$1,'DATA INPUT'!$A$3:$A$3000,"&gt;="&amp;DATE(2022,12,1),'DATA INPUT'!$A$3:$A$3000,"&lt;"&amp;DATE(2022,12,31),'DATA INPUT'!$F$3:$F$3000,"&lt;&gt;*Exclude*")=0,#N/A,(SUMIFS('DATA INPUT'!$E$3:$E$3000,'DATA INPUT'!$B$3:$B$3000,'Report Tables'!AC$1,'DATA INPUT'!$A$3:$A$3000,"&gt;="&amp;DATE(2022,12,1),'DATA INPUT'!$A$3:$A$3000,"&lt;"&amp;DATE(2022,12,31),'DATA INPUT'!$F$3:$F$3000,"&lt;&gt;*Exclude*"))))</f>
        <v>#N/A</v>
      </c>
      <c r="AD74" s="136" t="e">
        <f>IF($L$2="Yes",IF(SUMIFS('DATA INPUT'!$E$3:$E$3000,'DATA INPUT'!$B$3:$B$3000,'Report Tables'!AD$1,'DATA INPUT'!$A$3:$A$3000,"&gt;="&amp;DATE(2022,12,1),'DATA INPUT'!$A$3:$A$3000,"&lt;"&amp;DATE(2022,12,31))=0,#N/A,(SUMIFS('DATA INPUT'!$E$3:$E$3000,'DATA INPUT'!$B$3:$B$3000,'Report Tables'!AD$1,'DATA INPUT'!$A$3:$A$3000,"&gt;="&amp;DATE(2022,12,1),'DATA INPUT'!$A$3:$A$3000,"&lt;"&amp;DATE(2022,12,31)))),IF(SUMIFS('DATA INPUT'!$E$3:$E$3000,'DATA INPUT'!$B$3:$B$3000,'Report Tables'!AD$1,'DATA INPUT'!$A$3:$A$3000,"&gt;="&amp;DATE(2022,12,1),'DATA INPUT'!$A$3:$A$3000,"&lt;"&amp;DATE(2022,12,31),'DATA INPUT'!$F$3:$F$3000,"&lt;&gt;*Exclude*")=0,#N/A,(SUMIFS('DATA INPUT'!$E$3:$E$3000,'DATA INPUT'!$B$3:$B$3000,'Report Tables'!AD$1,'DATA INPUT'!$A$3:$A$3000,"&gt;="&amp;DATE(2022,12,1),'DATA INPUT'!$A$3:$A$3000,"&lt;"&amp;DATE(2022,12,31),'DATA INPUT'!$F$3:$F$3000,"&lt;&gt;*Exclude*"))))</f>
        <v>#N/A</v>
      </c>
      <c r="AE74" s="136" t="e">
        <f>IF($L$2="Yes",IF(SUMIFS('DATA INPUT'!$E$3:$E$3000,'DATA INPUT'!$B$3:$B$3000,'Report Tables'!AE$1,'DATA INPUT'!$A$3:$A$3000,"&gt;="&amp;DATE(2022,12,1),'DATA INPUT'!$A$3:$A$3000,"&lt;"&amp;DATE(2022,12,31))=0,#N/A,(SUMIFS('DATA INPUT'!$E$3:$E$3000,'DATA INPUT'!$B$3:$B$3000,'Report Tables'!AE$1,'DATA INPUT'!$A$3:$A$3000,"&gt;="&amp;DATE(2022,12,1),'DATA INPUT'!$A$3:$A$3000,"&lt;"&amp;DATE(2022,12,31)))),IF(SUMIFS('DATA INPUT'!$E$3:$E$3000,'DATA INPUT'!$B$3:$B$3000,'Report Tables'!AE$1,'DATA INPUT'!$A$3:$A$3000,"&gt;="&amp;DATE(2022,12,1),'DATA INPUT'!$A$3:$A$3000,"&lt;"&amp;DATE(2022,12,31),'DATA INPUT'!$F$3:$F$3000,"&lt;&gt;*Exclude*")=0,#N/A,(SUMIFS('DATA INPUT'!$E$3:$E$3000,'DATA INPUT'!$B$3:$B$3000,'Report Tables'!AE$1,'DATA INPUT'!$A$3:$A$3000,"&gt;="&amp;DATE(2022,12,1),'DATA INPUT'!$A$3:$A$3000,"&lt;"&amp;DATE(2022,12,31),'DATA INPUT'!$F$3:$F$3000,"&lt;&gt;*Exclude*"))))</f>
        <v>#N/A</v>
      </c>
      <c r="AF74" s="136" t="e">
        <f>IF($L$2="Yes",IF(SUMIFS('DATA INPUT'!$E$3:$E$3000,'DATA INPUT'!$B$3:$B$3000,'Report Tables'!AF$1,'DATA INPUT'!$A$3:$A$3000,"&gt;="&amp;DATE(2022,12,1),'DATA INPUT'!$A$3:$A$3000,"&lt;"&amp;DATE(2022,12,31))=0,#N/A,(SUMIFS('DATA INPUT'!$E$3:$E$3000,'DATA INPUT'!$B$3:$B$3000,'Report Tables'!AF$1,'DATA INPUT'!$A$3:$A$3000,"&gt;="&amp;DATE(2022,12,1),'DATA INPUT'!$A$3:$A$3000,"&lt;"&amp;DATE(2022,12,31)))),IF(SUMIFS('DATA INPUT'!$E$3:$E$3000,'DATA INPUT'!$B$3:$B$3000,'Report Tables'!AF$1,'DATA INPUT'!$A$3:$A$3000,"&gt;="&amp;DATE(2022,12,1),'DATA INPUT'!$A$3:$A$3000,"&lt;"&amp;DATE(2022,12,31),'DATA INPUT'!$F$3:$F$3000,"&lt;&gt;*Exclude*")=0,#N/A,(SUMIFS('DATA INPUT'!$E$3:$E$3000,'DATA INPUT'!$B$3:$B$3000,'Report Tables'!AF$1,'DATA INPUT'!$A$3:$A$3000,"&gt;="&amp;DATE(2022,12,1),'DATA INPUT'!$A$3:$A$3000,"&lt;"&amp;DATE(2022,12,31),'DATA INPUT'!$F$3:$F$3000,"&lt;&gt;*Exclude*"))))</f>
        <v>#N/A</v>
      </c>
      <c r="AG74" s="136" t="e">
        <f>IF($L$2="Yes",IF(SUMIFS('DATA INPUT'!$E$3:$E$3000,'DATA INPUT'!$B$3:$B$3000,'Report Tables'!AG$1,'DATA INPUT'!$A$3:$A$3000,"&gt;="&amp;DATE(2022,12,1),'DATA INPUT'!$A$3:$A$3000,"&lt;"&amp;DATE(2022,12,31))=0,#N/A,(SUMIFS('DATA INPUT'!$E$3:$E$3000,'DATA INPUT'!$B$3:$B$3000,'Report Tables'!AG$1,'DATA INPUT'!$A$3:$A$3000,"&gt;="&amp;DATE(2022,12,1),'DATA INPUT'!$A$3:$A$3000,"&lt;"&amp;DATE(2022,12,31)))),IF(SUMIFS('DATA INPUT'!$E$3:$E$3000,'DATA INPUT'!$B$3:$B$3000,'Report Tables'!AG$1,'DATA INPUT'!$A$3:$A$3000,"&gt;="&amp;DATE(2022,12,1),'DATA INPUT'!$A$3:$A$3000,"&lt;"&amp;DATE(2022,12,31),'DATA INPUT'!$F$3:$F$3000,"&lt;&gt;*Exclude*")=0,#N/A,(SUMIFS('DATA INPUT'!$E$3:$E$3000,'DATA INPUT'!$B$3:$B$3000,'Report Tables'!AG$1,'DATA INPUT'!$A$3:$A$3000,"&gt;="&amp;DATE(2022,12,1),'DATA INPUT'!$A$3:$A$3000,"&lt;"&amp;DATE(2022,12,31),'DATA INPUT'!$F$3:$F$3000,"&lt;&gt;*Exclude*"))))</f>
        <v>#N/A</v>
      </c>
      <c r="AH74" s="136" t="e">
        <f>IF($L$2="Yes",IF(SUMIFS('DATA INPUT'!$E$3:$E$3000,'DATA INPUT'!$B$3:$B$3000,'Report Tables'!AH$1,'DATA INPUT'!$A$3:$A$3000,"&gt;="&amp;DATE(2022,12,1),'DATA INPUT'!$A$3:$A$3000,"&lt;"&amp;DATE(2022,12,31))=0,#N/A,(SUMIFS('DATA INPUT'!$E$3:$E$3000,'DATA INPUT'!$B$3:$B$3000,'Report Tables'!AH$1,'DATA INPUT'!$A$3:$A$3000,"&gt;="&amp;DATE(2022,12,1),'DATA INPUT'!$A$3:$A$3000,"&lt;"&amp;DATE(2022,12,31)))),IF(SUMIFS('DATA INPUT'!$E$3:$E$3000,'DATA INPUT'!$B$3:$B$3000,'Report Tables'!AH$1,'DATA INPUT'!$A$3:$A$3000,"&gt;="&amp;DATE(2022,12,1),'DATA INPUT'!$A$3:$A$3000,"&lt;"&amp;DATE(2022,12,31),'DATA INPUT'!$F$3:$F$3000,"&lt;&gt;*Exclude*")=0,#N/A,(SUMIFS('DATA INPUT'!$E$3:$E$3000,'DATA INPUT'!$B$3:$B$3000,'Report Tables'!AH$1,'DATA INPUT'!$A$3:$A$3000,"&gt;="&amp;DATE(2022,12,1),'DATA INPUT'!$A$3:$A$3000,"&lt;"&amp;DATE(2022,12,31),'DATA INPUT'!$F$3:$F$3000,"&lt;&gt;*Exclude*"))))</f>
        <v>#N/A</v>
      </c>
      <c r="AI74" s="136" t="e">
        <f t="shared" si="23"/>
        <v>#N/A</v>
      </c>
      <c r="AJ74" s="136" t="e">
        <f>IF($L$2="Yes",IF(SUMIFS('DATA INPUT'!$D$3:$D$3000,'DATA INPUT'!$A$3:$A$3000,"&gt;="&amp;DATE(2022,12,1),'DATA INPUT'!$A$3:$A$3000,"&lt;"&amp;DATE(2022,12,31),'DATA INPUT'!$G$3:$G$3000,"&lt;&gt;*School service*")=0,#N/A,(SUMIFS('DATA INPUT'!$D$3:$D$3000,'DATA INPUT'!$A$3:$A$3000,"&gt;="&amp;DATE(2022,12,1),'DATA INPUT'!$A$3:$A$3000,"&lt;"&amp;DATE(2022,12,31),'DATA INPUT'!$G$3:$G$3000,"&lt;&gt;*School service*"))),IF(SUMIFS('DATA INPUT'!$D$3:$D$3000,'DATA INPUT'!$A$3:$A$3000,"&gt;="&amp;DATE(2022,12,1),'DATA INPUT'!$A$3:$A$3000,"&lt;"&amp;DATE(2022,12,31),'DATA INPUT'!$F$3:$F$3000,"&lt;&gt;*Exclude*",'DATA INPUT'!$G$3:$G$3000,"&lt;&gt;*School service*")=0,#N/A,(SUMIFS('DATA INPUT'!$D$3:$D$3000,'DATA INPUT'!$A$3:$A$3000,"&gt;="&amp;DATE(2022,12,1),'DATA INPUT'!$A$3:$A$3000,"&lt;"&amp;DATE(2022,12,31),'DATA INPUT'!$F$3:$F$3000,"&lt;&gt;*Exclude*",'DATA INPUT'!$G$3:$G$3000,"&lt;&gt;*School service*"))))</f>
        <v>#N/A</v>
      </c>
      <c r="AK74" s="136" t="e">
        <f>AI74-AJ74</f>
        <v>#N/A</v>
      </c>
      <c r="AM74" s="117" t="e">
        <f>IF($L$2="Yes",IFERROR((SUMIFS('DATA INPUT'!$E$3:$E$3000,'DATA INPUT'!$B$3:$B$3000,'Report Tables'!AM$1,'DATA INPUT'!$A$3:$A$3000,"&gt;="&amp;DATE(2022,12,1),'DATA INPUT'!$A$3:$A$3000,"&lt;"&amp;DATE(2022,12,31)))/COUNTIFS('DATA INPUT'!$B$3:$B$3000,'Report Tables'!AM$1,'DATA INPUT'!$A$3:$A$3000,"&gt;="&amp;DATE(2022,12,1),'DATA INPUT'!$A$3:$A$3000,"&lt;"&amp;DATE(2022,12,31)),#N/A),IFERROR((SUMIFS('DATA INPUT'!$E$3:$E$3000,'DATA INPUT'!$B$3:$B$3000,'Report Tables'!AM$1,'DATA INPUT'!$A$3:$A$3000,"&gt;="&amp;DATE(2022,12,1),'DATA INPUT'!$A$3:$A$3000,"&lt;"&amp;DATE(2022,12,31),'DATA INPUT'!$F$3:$F$3000,"&lt;&gt;*Exclude*"))/(COUNTIFS('DATA INPUT'!$B$3:$B$3000,'Report Tables'!AM$1,'DATA INPUT'!$A$3:$A$3000,"&gt;="&amp;DATE(2022,12,1),'DATA INPUT'!$A$3:$A$3000,"&lt;"&amp;DATE(2022,12,31),'DATA INPUT'!$F$3:$F$3000,"&lt;&gt;*Exclude*")),#N/A))</f>
        <v>#N/A</v>
      </c>
      <c r="AN74" s="117" t="e">
        <f>IF($L$2="Yes",IFERROR((SUMIFS('DATA INPUT'!$E$3:$E$3000,'DATA INPUT'!$B$3:$B$3000,'Report Tables'!AN$1,'DATA INPUT'!$A$3:$A$3000,"&gt;="&amp;DATE(2022,12,1),'DATA INPUT'!$A$3:$A$3000,"&lt;"&amp;DATE(2022,12,31)))/COUNTIFS('DATA INPUT'!$B$3:$B$3000,'Report Tables'!AN$1,'DATA INPUT'!$A$3:$A$3000,"&gt;="&amp;DATE(2022,12,1),'DATA INPUT'!$A$3:$A$3000,"&lt;"&amp;DATE(2022,12,31)),#N/A),IFERROR((SUMIFS('DATA INPUT'!$E$3:$E$3000,'DATA INPUT'!$B$3:$B$3000,'Report Tables'!AN$1,'DATA INPUT'!$A$3:$A$3000,"&gt;="&amp;DATE(2022,12,1),'DATA INPUT'!$A$3:$A$3000,"&lt;"&amp;DATE(2022,12,31),'DATA INPUT'!$F$3:$F$3000,"&lt;&gt;*Exclude*"))/(COUNTIFS('DATA INPUT'!$B$3:$B$3000,'Report Tables'!AN$1,'DATA INPUT'!$A$3:$A$3000,"&gt;="&amp;DATE(2022,12,1),'DATA INPUT'!$A$3:$A$3000,"&lt;"&amp;DATE(2022,12,31),'DATA INPUT'!$F$3:$F$3000,"&lt;&gt;*Exclude*")),#N/A))</f>
        <v>#N/A</v>
      </c>
      <c r="AO74" s="117" t="e">
        <f>IF($L$2="Yes",IFERROR((SUMIFS('DATA INPUT'!$E$3:$E$3000,'DATA INPUT'!$B$3:$B$3000,'Report Tables'!AO$1,'DATA INPUT'!$A$3:$A$3000,"&gt;="&amp;DATE(2022,12,1),'DATA INPUT'!$A$3:$A$3000,"&lt;"&amp;DATE(2022,12,31)))/COUNTIFS('DATA INPUT'!$B$3:$B$3000,'Report Tables'!AO$1,'DATA INPUT'!$A$3:$A$3000,"&gt;="&amp;DATE(2022,12,1),'DATA INPUT'!$A$3:$A$3000,"&lt;"&amp;DATE(2022,12,31)),#N/A),IFERROR((SUMIFS('DATA INPUT'!$E$3:$E$3000,'DATA INPUT'!$B$3:$B$3000,'Report Tables'!AO$1,'DATA INPUT'!$A$3:$A$3000,"&gt;="&amp;DATE(2022,12,1),'DATA INPUT'!$A$3:$A$3000,"&lt;"&amp;DATE(2022,12,31),'DATA INPUT'!$F$3:$F$3000,"&lt;&gt;*Exclude*"))/(COUNTIFS('DATA INPUT'!$B$3:$B$3000,'Report Tables'!AO$1,'DATA INPUT'!$A$3:$A$3000,"&gt;="&amp;DATE(2022,12,1),'DATA INPUT'!$A$3:$A$3000,"&lt;"&amp;DATE(2022,12,31),'DATA INPUT'!$F$3:$F$3000,"&lt;&gt;*Exclude*")),#N/A))</f>
        <v>#N/A</v>
      </c>
      <c r="AP74" s="117" t="e">
        <f>IF($L$2="Yes",IFERROR((SUMIFS('DATA INPUT'!$E$3:$E$3000,'DATA INPUT'!$B$3:$B$3000,'Report Tables'!AP$1,'DATA INPUT'!$A$3:$A$3000,"&gt;="&amp;DATE(2022,12,1),'DATA INPUT'!$A$3:$A$3000,"&lt;"&amp;DATE(2022,12,31)))/COUNTIFS('DATA INPUT'!$B$3:$B$3000,'Report Tables'!AP$1,'DATA INPUT'!$A$3:$A$3000,"&gt;="&amp;DATE(2022,12,1),'DATA INPUT'!$A$3:$A$3000,"&lt;"&amp;DATE(2022,12,31)),#N/A),IFERROR((SUMIFS('DATA INPUT'!$E$3:$E$3000,'DATA INPUT'!$B$3:$B$3000,'Report Tables'!AP$1,'DATA INPUT'!$A$3:$A$3000,"&gt;="&amp;DATE(2022,12,1),'DATA INPUT'!$A$3:$A$3000,"&lt;"&amp;DATE(2022,12,31),'DATA INPUT'!$F$3:$F$3000,"&lt;&gt;*Exclude*"))/(COUNTIFS('DATA INPUT'!$B$3:$B$3000,'Report Tables'!AP$1,'DATA INPUT'!$A$3:$A$3000,"&gt;="&amp;DATE(2022,12,1),'DATA INPUT'!$A$3:$A$3000,"&lt;"&amp;DATE(2022,12,31),'DATA INPUT'!$F$3:$F$3000,"&lt;&gt;*Exclude*")),#N/A))</f>
        <v>#N/A</v>
      </c>
      <c r="AQ74" s="117" t="e">
        <f>IF($L$2="Yes",IFERROR((SUMIFS('DATA INPUT'!$E$3:$E$3000,'DATA INPUT'!$B$3:$B$3000,'Report Tables'!AQ$1,'DATA INPUT'!$A$3:$A$3000,"&gt;="&amp;DATE(2022,12,1),'DATA INPUT'!$A$3:$A$3000,"&lt;"&amp;DATE(2022,12,31)))/COUNTIFS('DATA INPUT'!$B$3:$B$3000,'Report Tables'!AQ$1,'DATA INPUT'!$A$3:$A$3000,"&gt;="&amp;DATE(2022,12,1),'DATA INPUT'!$A$3:$A$3000,"&lt;"&amp;DATE(2022,12,31)),#N/A),IFERROR((SUMIFS('DATA INPUT'!$E$3:$E$3000,'DATA INPUT'!$B$3:$B$3000,'Report Tables'!AQ$1,'DATA INPUT'!$A$3:$A$3000,"&gt;="&amp;DATE(2022,12,1),'DATA INPUT'!$A$3:$A$3000,"&lt;"&amp;DATE(2022,12,31),'DATA INPUT'!$F$3:$F$3000,"&lt;&gt;*Exclude*"))/(COUNTIFS('DATA INPUT'!$B$3:$B$3000,'Report Tables'!AQ$1,'DATA INPUT'!$A$3:$A$3000,"&gt;="&amp;DATE(2022,12,1),'DATA INPUT'!$A$3:$A$3000,"&lt;"&amp;DATE(2022,12,31),'DATA INPUT'!$F$3:$F$3000,"&lt;&gt;*Exclude*")),#N/A))</f>
        <v>#N/A</v>
      </c>
      <c r="AR74" s="117" t="e">
        <f>IF($L$2="Yes",IFERROR((SUMIFS('DATA INPUT'!$E$3:$E$3000,'DATA INPUT'!$B$3:$B$3000,'Report Tables'!AR$1,'DATA INPUT'!$A$3:$A$3000,"&gt;="&amp;DATE(2022,12,1),'DATA INPUT'!$A$3:$A$3000,"&lt;"&amp;DATE(2022,12,31)))/COUNTIFS('DATA INPUT'!$B$3:$B$3000,'Report Tables'!AR$1,'DATA INPUT'!$A$3:$A$3000,"&gt;="&amp;DATE(2022,12,1),'DATA INPUT'!$A$3:$A$3000,"&lt;"&amp;DATE(2022,12,31)),#N/A),IFERROR((SUMIFS('DATA INPUT'!$E$3:$E$3000,'DATA INPUT'!$B$3:$B$3000,'Report Tables'!AR$1,'DATA INPUT'!$A$3:$A$3000,"&gt;="&amp;DATE(2022,12,1),'DATA INPUT'!$A$3:$A$3000,"&lt;"&amp;DATE(2022,12,31),'DATA INPUT'!$F$3:$F$3000,"&lt;&gt;*Exclude*"))/(COUNTIFS('DATA INPUT'!$B$3:$B$3000,'Report Tables'!AR$1,'DATA INPUT'!$A$3:$A$3000,"&gt;="&amp;DATE(2022,12,1),'DATA INPUT'!$A$3:$A$3000,"&lt;"&amp;DATE(2022,12,31),'DATA INPUT'!$F$3:$F$3000,"&lt;&gt;*Exclude*")),#N/A))</f>
        <v>#N/A</v>
      </c>
      <c r="AS74" s="117" t="e">
        <f>IF($L$2="Yes",IFERROR((SUMIFS('DATA INPUT'!$E$3:$E$3000,'DATA INPUT'!$B$3:$B$3000,'Report Tables'!AS$1,'DATA INPUT'!$A$3:$A$3000,"&gt;="&amp;DATE(2022,12,1),'DATA INPUT'!$A$3:$A$3000,"&lt;"&amp;DATE(2022,12,31)))/COUNTIFS('DATA INPUT'!$B$3:$B$3000,'Report Tables'!AS$1,'DATA INPUT'!$A$3:$A$3000,"&gt;="&amp;DATE(2022,12,1),'DATA INPUT'!$A$3:$A$3000,"&lt;"&amp;DATE(2022,12,31)),#N/A),IFERROR((SUMIFS('DATA INPUT'!$E$3:$E$3000,'DATA INPUT'!$B$3:$B$3000,'Report Tables'!AS$1,'DATA INPUT'!$A$3:$A$3000,"&gt;="&amp;DATE(2022,12,1),'DATA INPUT'!$A$3:$A$3000,"&lt;"&amp;DATE(2022,12,31),'DATA INPUT'!$F$3:$F$3000,"&lt;&gt;*Exclude*"))/(COUNTIFS('DATA INPUT'!$B$3:$B$3000,'Report Tables'!AS$1,'DATA INPUT'!$A$3:$A$3000,"&gt;="&amp;DATE(2022,12,1),'DATA INPUT'!$A$3:$A$3000,"&lt;"&amp;DATE(2022,12,31),'DATA INPUT'!$F$3:$F$3000,"&lt;&gt;*Exclude*")),#N/A))</f>
        <v>#N/A</v>
      </c>
      <c r="AT74" s="117" t="e">
        <f>IF($L$2="Yes",IFERROR((SUMIFS('DATA INPUT'!$E$3:$E$3000,'DATA INPUT'!$B$3:$B$3000,'Report Tables'!AT$1,'DATA INPUT'!$A$3:$A$3000,"&gt;="&amp;DATE(2022,12,1),'DATA INPUT'!$A$3:$A$3000,"&lt;"&amp;DATE(2022,12,31)))/COUNTIFS('DATA INPUT'!$B$3:$B$3000,'Report Tables'!AT$1,'DATA INPUT'!$A$3:$A$3000,"&gt;="&amp;DATE(2022,12,1),'DATA INPUT'!$A$3:$A$3000,"&lt;"&amp;DATE(2022,12,31)),#N/A),IFERROR((SUMIFS('DATA INPUT'!$E$3:$E$3000,'DATA INPUT'!$B$3:$B$3000,'Report Tables'!AT$1,'DATA INPUT'!$A$3:$A$3000,"&gt;="&amp;DATE(2022,12,1),'DATA INPUT'!$A$3:$A$3000,"&lt;"&amp;DATE(2022,12,31),'DATA INPUT'!$F$3:$F$3000,"&lt;&gt;*Exclude*"))/(COUNTIFS('DATA INPUT'!$B$3:$B$3000,'Report Tables'!AT$1,'DATA INPUT'!$A$3:$A$3000,"&gt;="&amp;DATE(2022,12,1),'DATA INPUT'!$A$3:$A$3000,"&lt;"&amp;DATE(2022,12,31),'DATA INPUT'!$F$3:$F$3000,"&lt;&gt;*Exclude*")),#N/A))</f>
        <v>#N/A</v>
      </c>
      <c r="AU74" s="117" t="e">
        <f t="shared" si="24"/>
        <v>#N/A</v>
      </c>
      <c r="AV74" s="117" t="e">
        <f>IF($L$2="Yes",IFERROR((SUMIFS('DATA INPUT'!$D$3:$D$3000,'DATA INPUT'!$A$3:$A$3000,"&gt;="&amp;DATE(2022,12,1),'DATA INPUT'!$A$3:$A$3000,"&lt;"&amp;DATE(2022,12,31),'DATA INPUT'!$G$3:$G$3000,"&lt;&gt;*School service*"))/COUNTIFS('DATA INPUT'!$A$3:$A$3000,"&gt;="&amp;DATE(2022,12,1),'DATA INPUT'!$A$3:$A$3000,"&lt;"&amp;DATE(2022,12,31),'DATA INPUT'!$G$3:$G$3000,"&lt;&gt;*School service*",'DATA INPUT'!$D$3:$D$3000,"&lt;&gt;"&amp;""),#N/A),IFERROR((SUMIFS('DATA INPUT'!$D$3:$D$3000,'DATA INPUT'!$A$3:$A$3000,"&gt;="&amp;DATE(2022,12,1),'DATA INPUT'!$A$3:$A$3000,"&lt;"&amp;DATE(2022,12,31),'DATA INPUT'!$F$3:$F$3000,"&lt;&gt;*Exclude*",'DATA INPUT'!$G$3:$G$3000,"&lt;&gt;*School service*"))/(COUNTIFS('DATA INPUT'!$A$3:$A$3000,"&gt;="&amp;DATE(2022,12,1),'DATA INPUT'!$A$3:$A$3000,"&lt;"&amp;DATE(2022,12,31),'DATA INPUT'!$F$3:$F$3000,"&lt;&gt;*Exclude*",'DATA INPUT'!$G$3:$G$3000,"&lt;&gt;*School service*",'DATA INPUT'!$D$3:$D$3000,"&lt;&gt;"&amp;"")),#N/A))</f>
        <v>#N/A</v>
      </c>
      <c r="AW74" s="117" t="e">
        <f t="shared" si="25"/>
        <v>#N/A</v>
      </c>
      <c r="AX74" s="117" t="e">
        <f>IF($L$2="Yes",IFERROR((SUMIFS('DATA INPUT'!$E$3:$E$3000,'DATA INPUT'!$B$3:$B$3000,'Report Tables'!AX$1,'DATA INPUT'!$A$3:$A$3000,"&gt;="&amp;DATE(2022,12,1),'DATA INPUT'!$A$3:$A$3000,"&lt;"&amp;DATE(2022,12,31)))/COUNTIFS('DATA INPUT'!$B$3:$B$3000,'Report Tables'!AX$1,'DATA INPUT'!$A$3:$A$3000,"&gt;="&amp;DATE(2022,12,1),'DATA INPUT'!$A$3:$A$3000,"&lt;"&amp;DATE(2022,12,31)),#N/A),IFERROR((SUMIFS('DATA INPUT'!$E$3:$E$3000,'DATA INPUT'!$B$3:$B$3000,'Report Tables'!AX$1,'DATA INPUT'!$A$3:$A$3000,"&gt;="&amp;DATE(2022,12,1),'DATA INPUT'!$A$3:$A$3000,"&lt;"&amp;DATE(2022,12,31),'DATA INPUT'!$F$3:$F$3000,"&lt;&gt;*Exclude*"))/(COUNTIFS('DATA INPUT'!$B$3:$B$3000,'Report Tables'!AX$1,'DATA INPUT'!$A$3:$A$3000,"&gt;="&amp;DATE(2022,12,1),'DATA INPUT'!$A$3:$A$3000,"&lt;"&amp;DATE(2022,12,31),'DATA INPUT'!$F$3:$F$3000,"&lt;&gt;*Exclude*")),#N/A))</f>
        <v>#N/A</v>
      </c>
      <c r="AY74" s="117" t="e">
        <f>IF($L$2="Yes",IFERROR((SUMIFS('DATA INPUT'!$D$3:$D$3000,'DATA INPUT'!$B$3:$B$3000,'Report Tables'!AX$1,'DATA INPUT'!$A$3:$A$3000,"&gt;="&amp;DATE(2022,12,1),'DATA INPUT'!$A$3:$A$3000,"&lt;"&amp;DATE(2022,12,31)))/COUNTIFS('DATA INPUT'!$B$3:$B$3000,'Report Tables'!AX$1,'DATA INPUT'!$A$3:$A$3000,"&gt;="&amp;DATE(2022,12,1),'DATA INPUT'!$A$3:$A$3000,"&lt;"&amp;DATE(2022,12,31)),#N/A),IFERROR((SUMIFS('DATA INPUT'!$D$3:$D$3000,'DATA INPUT'!$B$3:$B$3000,'Report Tables'!AX$1,'DATA INPUT'!$A$3:$A$3000,"&gt;="&amp;DATE(2022,12,1),'DATA INPUT'!$A$3:$A$3000,"&lt;"&amp;DATE(2022,12,31),'DATA INPUT'!$F$3:$F$3000,"&lt;&gt;*Exclude*"))/(COUNTIFS('DATA INPUT'!$B$3:$B$3000,'Report Tables'!AX$1,'DATA INPUT'!$A$3:$A$3000,"&gt;="&amp;DATE(2022,12,1),'DATA INPUT'!$A$3:$A$3000,"&lt;"&amp;DATE(2022,12,31),'DATA INPUT'!$F$3:$F$3000,"&lt;&gt;*Exclude*")),#N/A))</f>
        <v>#N/A</v>
      </c>
      <c r="AZ74" s="117" t="e">
        <f>IF($L$2="Yes",IFERROR((SUMIFS('DATA INPUT'!$C$3:$C$3000,'DATA INPUT'!$B$3:$B$3000,'Report Tables'!AX$1,'DATA INPUT'!$A$3:$A$3000,"&gt;="&amp;DATE(2022,12,1),'DATA INPUT'!$A$3:$A$3000,"&lt;"&amp;DATE(2022,12,31)))/COUNTIFS('DATA INPUT'!$B$3:$B$3000,'Report Tables'!AX$1,'DATA INPUT'!$A$3:$A$3000,"&gt;="&amp;DATE(2022,12,1),'DATA INPUT'!$A$3:$A$3000,"&lt;"&amp;DATE(2022,12,31)),#N/A),IFERROR((SUMIFS('DATA INPUT'!$C$3:$C$3000,'DATA INPUT'!$B$3:$B$3000,'Report Tables'!AX$1,'DATA INPUT'!$A$3:$A$3000,"&gt;="&amp;DATE(2022,12,1),'DATA INPUT'!$A$3:$A$3000,"&lt;"&amp;DATE(2022,12,31),'DATA INPUT'!$F$3:$F$3000,"&lt;&gt;*Exclude*"))/(COUNTIFS('DATA INPUT'!$B$3:$B$3000,'Report Tables'!AX$1,'DATA INPUT'!$A$3:$A$3000,"&gt;="&amp;DATE(2022,12,1),'DATA INPUT'!$A$3:$A$3000,"&lt;"&amp;DATE(2022,12,31),'DATA INPUT'!$F$3:$F$3000,"&lt;&gt;*Exclude*")),#N/A))</f>
        <v>#N/A</v>
      </c>
    </row>
    <row r="75" spans="25:52" x14ac:dyDescent="0.3">
      <c r="Y75" s="149">
        <v>2023</v>
      </c>
      <c r="Z75" s="149" t="s">
        <v>12</v>
      </c>
      <c r="AA75" s="136" t="e">
        <f>IF($L$2="Yes",IF(SUMIFS('DATA INPUT'!$E$3:$E$3000,'DATA INPUT'!$B$3:$B$3000,'Report Tables'!AA$1,'DATA INPUT'!$A$3:$A$3000,"&gt;="&amp;DATE(2023,1,1),'DATA INPUT'!$A$3:$A$3000,"&lt;"&amp;DATE(2023,1,31))=0,#N/A,(SUMIFS('DATA INPUT'!$E$3:$E$3000,'DATA INPUT'!$B$3:$B$3000,'Report Tables'!AA$1,'DATA INPUT'!$A$3:$A$3000,"&gt;="&amp;DATE(2023,1,1),'DATA INPUT'!$A$3:$A$3000,"&lt;"&amp;DATE(2023,1,31)))),IF(SUMIFS('DATA INPUT'!$E$3:$E$3000,'DATA INPUT'!$B$3:$B$3000,'Report Tables'!AA$1,'DATA INPUT'!$A$3:$A$3000,"&gt;="&amp;DATE(2023,1,1),'DATA INPUT'!$A$3:$A$3000,"&lt;"&amp;DATE(2023,1,31),'DATA INPUT'!$F$3:$F$3000,"&lt;&gt;*Exclude*")=0,#N/A,(SUMIFS('DATA INPUT'!$E$3:$E$3000,'DATA INPUT'!$B$3:$B$3000,'Report Tables'!AA$1,'DATA INPUT'!$A$3:$A$3000,"&gt;="&amp;DATE(2023,1,1),'DATA INPUT'!$A$3:$A$3000,"&lt;"&amp;DATE(2023,1,31),'DATA INPUT'!$F$3:$F$3000,"&lt;&gt;*Exclude*"))))</f>
        <v>#N/A</v>
      </c>
      <c r="AB75" s="136" t="e">
        <f>IF($L$2="Yes",IF(SUMIFS('DATA INPUT'!$E$3:$E$3000,'DATA INPUT'!$B$3:$B$3000,'Report Tables'!AB$1,'DATA INPUT'!$A$3:$A$3000,"&gt;="&amp;DATE(2023,1,1),'DATA INPUT'!$A$3:$A$3000,"&lt;"&amp;DATE(2023,1,31))=0,#N/A,(SUMIFS('DATA INPUT'!$E$3:$E$3000,'DATA INPUT'!$B$3:$B$3000,'Report Tables'!AB$1,'DATA INPUT'!$A$3:$A$3000,"&gt;="&amp;DATE(2023,1,1),'DATA INPUT'!$A$3:$A$3000,"&lt;"&amp;DATE(2023,1,31)))),IF(SUMIFS('DATA INPUT'!$E$3:$E$3000,'DATA INPUT'!$B$3:$B$3000,'Report Tables'!AB$1,'DATA INPUT'!$A$3:$A$3000,"&gt;="&amp;DATE(2023,1,1),'DATA INPUT'!$A$3:$A$3000,"&lt;"&amp;DATE(2023,1,31),'DATA INPUT'!$F$3:$F$3000,"&lt;&gt;*Exclude*")=0,#N/A,(SUMIFS('DATA INPUT'!$E$3:$E$3000,'DATA INPUT'!$B$3:$B$3000,'Report Tables'!AB$1,'DATA INPUT'!$A$3:$A$3000,"&gt;="&amp;DATE(2023,1,1),'DATA INPUT'!$A$3:$A$3000,"&lt;"&amp;DATE(2023,1,31),'DATA INPUT'!$F$3:$F$3000,"&lt;&gt;*Exclude*"))))</f>
        <v>#N/A</v>
      </c>
      <c r="AC75" s="136" t="e">
        <f>IF($L$2="Yes",IF(SUMIFS('DATA INPUT'!$E$3:$E$3000,'DATA INPUT'!$B$3:$B$3000,'Report Tables'!AC$1,'DATA INPUT'!$A$3:$A$3000,"&gt;="&amp;DATE(2023,1,1),'DATA INPUT'!$A$3:$A$3000,"&lt;"&amp;DATE(2023,1,31))=0,#N/A,(SUMIFS('DATA INPUT'!$E$3:$E$3000,'DATA INPUT'!$B$3:$B$3000,'Report Tables'!AC$1,'DATA INPUT'!$A$3:$A$3000,"&gt;="&amp;DATE(2023,1,1),'DATA INPUT'!$A$3:$A$3000,"&lt;"&amp;DATE(2023,1,31)))),IF(SUMIFS('DATA INPUT'!$E$3:$E$3000,'DATA INPUT'!$B$3:$B$3000,'Report Tables'!AC$1,'DATA INPUT'!$A$3:$A$3000,"&gt;="&amp;DATE(2023,1,1),'DATA INPUT'!$A$3:$A$3000,"&lt;"&amp;DATE(2023,1,31),'DATA INPUT'!$F$3:$F$3000,"&lt;&gt;*Exclude*")=0,#N/A,(SUMIFS('DATA INPUT'!$E$3:$E$3000,'DATA INPUT'!$B$3:$B$3000,'Report Tables'!AC$1,'DATA INPUT'!$A$3:$A$3000,"&gt;="&amp;DATE(2023,1,1),'DATA INPUT'!$A$3:$A$3000,"&lt;"&amp;DATE(2023,1,31),'DATA INPUT'!$F$3:$F$3000,"&lt;&gt;*Exclude*"))))</f>
        <v>#N/A</v>
      </c>
      <c r="AD75" s="136" t="e">
        <f>IF($L$2="Yes",IF(SUMIFS('DATA INPUT'!$E$3:$E$3000,'DATA INPUT'!$B$3:$B$3000,'Report Tables'!AD$1,'DATA INPUT'!$A$3:$A$3000,"&gt;="&amp;DATE(2023,1,1),'DATA INPUT'!$A$3:$A$3000,"&lt;"&amp;DATE(2023,1,31))=0,#N/A,(SUMIFS('DATA INPUT'!$E$3:$E$3000,'DATA INPUT'!$B$3:$B$3000,'Report Tables'!AD$1,'DATA INPUT'!$A$3:$A$3000,"&gt;="&amp;DATE(2023,1,1),'DATA INPUT'!$A$3:$A$3000,"&lt;"&amp;DATE(2023,1,31)))),IF(SUMIFS('DATA INPUT'!$E$3:$E$3000,'DATA INPUT'!$B$3:$B$3000,'Report Tables'!AD$1,'DATA INPUT'!$A$3:$A$3000,"&gt;="&amp;DATE(2023,1,1),'DATA INPUT'!$A$3:$A$3000,"&lt;"&amp;DATE(2023,1,31),'DATA INPUT'!$F$3:$F$3000,"&lt;&gt;*Exclude*")=0,#N/A,(SUMIFS('DATA INPUT'!$E$3:$E$3000,'DATA INPUT'!$B$3:$B$3000,'Report Tables'!AD$1,'DATA INPUT'!$A$3:$A$3000,"&gt;="&amp;DATE(2023,1,1),'DATA INPUT'!$A$3:$A$3000,"&lt;"&amp;DATE(2023,1,31),'DATA INPUT'!$F$3:$F$3000,"&lt;&gt;*Exclude*"))))</f>
        <v>#N/A</v>
      </c>
      <c r="AE75" s="136" t="e">
        <f>IF($L$2="Yes",IF(SUMIFS('DATA INPUT'!$E$3:$E$3000,'DATA INPUT'!$B$3:$B$3000,'Report Tables'!AE$1,'DATA INPUT'!$A$3:$A$3000,"&gt;="&amp;DATE(2023,1,1),'DATA INPUT'!$A$3:$A$3000,"&lt;"&amp;DATE(2023,1,31))=0,#N/A,(SUMIFS('DATA INPUT'!$E$3:$E$3000,'DATA INPUT'!$B$3:$B$3000,'Report Tables'!AE$1,'DATA INPUT'!$A$3:$A$3000,"&gt;="&amp;DATE(2023,1,1),'DATA INPUT'!$A$3:$A$3000,"&lt;"&amp;DATE(2023,1,31)))),IF(SUMIFS('DATA INPUT'!$E$3:$E$3000,'DATA INPUT'!$B$3:$B$3000,'Report Tables'!AE$1,'DATA INPUT'!$A$3:$A$3000,"&gt;="&amp;DATE(2023,1,1),'DATA INPUT'!$A$3:$A$3000,"&lt;"&amp;DATE(2023,1,31),'DATA INPUT'!$F$3:$F$3000,"&lt;&gt;*Exclude*")=0,#N/A,(SUMIFS('DATA INPUT'!$E$3:$E$3000,'DATA INPUT'!$B$3:$B$3000,'Report Tables'!AE$1,'DATA INPUT'!$A$3:$A$3000,"&gt;="&amp;DATE(2023,1,1),'DATA INPUT'!$A$3:$A$3000,"&lt;"&amp;DATE(2023,1,31),'DATA INPUT'!$F$3:$F$3000,"&lt;&gt;*Exclude*"))))</f>
        <v>#N/A</v>
      </c>
      <c r="AF75" s="136" t="e">
        <f>IF($L$2="Yes",IF(SUMIFS('DATA INPUT'!$E$3:$E$3000,'DATA INPUT'!$B$3:$B$3000,'Report Tables'!AF$1,'DATA INPUT'!$A$3:$A$3000,"&gt;="&amp;DATE(2023,1,1),'DATA INPUT'!$A$3:$A$3000,"&lt;"&amp;DATE(2023,1,31))=0,#N/A,(SUMIFS('DATA INPUT'!$E$3:$E$3000,'DATA INPUT'!$B$3:$B$3000,'Report Tables'!AF$1,'DATA INPUT'!$A$3:$A$3000,"&gt;="&amp;DATE(2023,1,1),'DATA INPUT'!$A$3:$A$3000,"&lt;"&amp;DATE(2023,1,31)))),IF(SUMIFS('DATA INPUT'!$E$3:$E$3000,'DATA INPUT'!$B$3:$B$3000,'Report Tables'!AF$1,'DATA INPUT'!$A$3:$A$3000,"&gt;="&amp;DATE(2023,1,1),'DATA INPUT'!$A$3:$A$3000,"&lt;"&amp;DATE(2023,1,31),'DATA INPUT'!$F$3:$F$3000,"&lt;&gt;*Exclude*")=0,#N/A,(SUMIFS('DATA INPUT'!$E$3:$E$3000,'DATA INPUT'!$B$3:$B$3000,'Report Tables'!AF$1,'DATA INPUT'!$A$3:$A$3000,"&gt;="&amp;DATE(2023,1,1),'DATA INPUT'!$A$3:$A$3000,"&lt;"&amp;DATE(2023,1,31),'DATA INPUT'!$F$3:$F$3000,"&lt;&gt;*Exclude*"))))</f>
        <v>#N/A</v>
      </c>
      <c r="AG75" s="136" t="e">
        <f>IF($L$2="Yes",IF(SUMIFS('DATA INPUT'!$E$3:$E$3000,'DATA INPUT'!$B$3:$B$3000,'Report Tables'!AG$1,'DATA INPUT'!$A$3:$A$3000,"&gt;="&amp;DATE(2023,1,1),'DATA INPUT'!$A$3:$A$3000,"&lt;"&amp;DATE(2023,1,31))=0,#N/A,(SUMIFS('DATA INPUT'!$E$3:$E$3000,'DATA INPUT'!$B$3:$B$3000,'Report Tables'!AG$1,'DATA INPUT'!$A$3:$A$3000,"&gt;="&amp;DATE(2023,1,1),'DATA INPUT'!$A$3:$A$3000,"&lt;"&amp;DATE(2023,1,31)))),IF(SUMIFS('DATA INPUT'!$E$3:$E$3000,'DATA INPUT'!$B$3:$B$3000,'Report Tables'!AG$1,'DATA INPUT'!$A$3:$A$3000,"&gt;="&amp;DATE(2023,1,1),'DATA INPUT'!$A$3:$A$3000,"&lt;"&amp;DATE(2023,1,31),'DATA INPUT'!$F$3:$F$3000,"&lt;&gt;*Exclude*")=0,#N/A,(SUMIFS('DATA INPUT'!$E$3:$E$3000,'DATA INPUT'!$B$3:$B$3000,'Report Tables'!AG$1,'DATA INPUT'!$A$3:$A$3000,"&gt;="&amp;DATE(2023,1,1),'DATA INPUT'!$A$3:$A$3000,"&lt;"&amp;DATE(2023,1,31),'DATA INPUT'!$F$3:$F$3000,"&lt;&gt;*Exclude*"))))</f>
        <v>#N/A</v>
      </c>
      <c r="AH75" s="136" t="e">
        <f>IF($L$2="Yes",IF(SUMIFS('DATA INPUT'!$E$3:$E$3000,'DATA INPUT'!$B$3:$B$3000,'Report Tables'!AH$1,'DATA INPUT'!$A$3:$A$3000,"&gt;="&amp;DATE(2023,1,1),'DATA INPUT'!$A$3:$A$3000,"&lt;"&amp;DATE(2023,1,31))=0,#N/A,(SUMIFS('DATA INPUT'!$E$3:$E$3000,'DATA INPUT'!$B$3:$B$3000,'Report Tables'!AH$1,'DATA INPUT'!$A$3:$A$3000,"&gt;="&amp;DATE(2023,1,1),'DATA INPUT'!$A$3:$A$3000,"&lt;"&amp;DATE(2023,1,31)))),IF(SUMIFS('DATA INPUT'!$E$3:$E$3000,'DATA INPUT'!$B$3:$B$3000,'Report Tables'!AH$1,'DATA INPUT'!$A$3:$A$3000,"&gt;="&amp;DATE(2023,1,1),'DATA INPUT'!$A$3:$A$3000,"&lt;"&amp;DATE(2023,1,31),'DATA INPUT'!$F$3:$F$3000,"&lt;&gt;*Exclude*")=0,#N/A,(SUMIFS('DATA INPUT'!$E$3:$E$3000,'DATA INPUT'!$B$3:$B$3000,'Report Tables'!AH$1,'DATA INPUT'!$A$3:$A$3000,"&gt;="&amp;DATE(2023,1,1),'DATA INPUT'!$A$3:$A$3000,"&lt;"&amp;DATE(2023,1,31),'DATA INPUT'!$F$3:$F$3000,"&lt;&gt;*Exclude*"))))</f>
        <v>#N/A</v>
      </c>
      <c r="AI75" s="136" t="e">
        <f t="shared" si="23"/>
        <v>#N/A</v>
      </c>
      <c r="AJ75" s="136" t="e">
        <f>IF($L$2="Yes",IF(SUMIFS('DATA INPUT'!$D$3:$D$3000,'DATA INPUT'!$A$3:$A$3000,"&gt;="&amp;DATE(2023,1,1),'DATA INPUT'!$A$3:$A$3000,"&lt;"&amp;DATE(2023,1,31),'DATA INPUT'!$G$3:$G$3000,"&lt;&gt;*School service*")=0,#N/A,(SUMIFS('DATA INPUT'!$D$3:$D$3000,'DATA INPUT'!$A$3:$A$3000,"&gt;="&amp;DATE(2023,1,1),'DATA INPUT'!$A$3:$A$3000,"&lt;"&amp;DATE(2023,1,31),'DATA INPUT'!$G$3:$G$3000,"&lt;&gt;*School service*"))),IF(SUMIFS('DATA INPUT'!$D$3:$D$3000,'DATA INPUT'!$A$3:$A$3000,"&gt;="&amp;DATE(2023,1,1),'DATA INPUT'!$A$3:$A$3000,"&lt;"&amp;DATE(2023,1,31),'DATA INPUT'!$F$3:$F$3000,"&lt;&gt;*Exclude*",'DATA INPUT'!$G$3:$G$3000,"&lt;&gt;*School service*")=0,#N/A,(SUMIFS('DATA INPUT'!$D$3:$D$3000,'DATA INPUT'!$A$3:$A$3000,"&gt;="&amp;DATE(2023,1,1),'DATA INPUT'!$A$3:$A$3000,"&lt;"&amp;DATE(2023,1,31),'DATA INPUT'!$F$3:$F$3000,"&lt;&gt;*Exclude*",'DATA INPUT'!$G$3:$G$3000,"&lt;&gt;*School service*"))))</f>
        <v>#N/A</v>
      </c>
      <c r="AK75" s="136" t="e">
        <f>AI75-AJ75</f>
        <v>#N/A</v>
      </c>
      <c r="AM75" s="117" t="e">
        <f>IF($L$2="Yes",IFERROR((SUMIFS('DATA INPUT'!$E$3:$E$3000,'DATA INPUT'!$B$3:$B$3000,'Report Tables'!AM$1,'DATA INPUT'!$A$3:$A$3000,"&gt;="&amp;DATE(2023,1,1),'DATA INPUT'!$A$3:$A$3000,"&lt;"&amp;DATE(2023,1,31)))/COUNTIFS('DATA INPUT'!$B$3:$B$3000,'Report Tables'!AM$1,'DATA INPUT'!$A$3:$A$3000,"&gt;="&amp;DATE(2023,1,1),'DATA INPUT'!$A$3:$A$3000,"&lt;"&amp;DATE(2023,1,31)),#N/A),IFERROR((SUMIFS('DATA INPUT'!$E$3:$E$3000,'DATA INPUT'!$B$3:$B$3000,'Report Tables'!AM$1,'DATA INPUT'!$A$3:$A$3000,"&gt;="&amp;DATE(2023,1,1),'DATA INPUT'!$A$3:$A$3000,"&lt;"&amp;DATE(2023,1,31),'DATA INPUT'!$F$3:$F$3000,"&lt;&gt;*Exclude*"))/(COUNTIFS('DATA INPUT'!$B$3:$B$3000,'Report Tables'!AM$1,'DATA INPUT'!$A$3:$A$3000,"&gt;="&amp;DATE(2023,1,1),'DATA INPUT'!$A$3:$A$3000,"&lt;"&amp;DATE(2023,1,31),'DATA INPUT'!$F$3:$F$3000,"&lt;&gt;*Exclude*")),#N/A))</f>
        <v>#N/A</v>
      </c>
      <c r="AN75" s="117" t="e">
        <f>IF($L$2="Yes",IFERROR((SUMIFS('DATA INPUT'!$E$3:$E$3000,'DATA INPUT'!$B$3:$B$3000,'Report Tables'!AN$1,'DATA INPUT'!$A$3:$A$3000,"&gt;="&amp;DATE(2023,1,1),'DATA INPUT'!$A$3:$A$3000,"&lt;"&amp;DATE(2023,1,31)))/COUNTIFS('DATA INPUT'!$B$3:$B$3000,'Report Tables'!AN$1,'DATA INPUT'!$A$3:$A$3000,"&gt;="&amp;DATE(2023,1,1),'DATA INPUT'!$A$3:$A$3000,"&lt;"&amp;DATE(2023,1,31)),#N/A),IFERROR((SUMIFS('DATA INPUT'!$E$3:$E$3000,'DATA INPUT'!$B$3:$B$3000,'Report Tables'!AN$1,'DATA INPUT'!$A$3:$A$3000,"&gt;="&amp;DATE(2023,1,1),'DATA INPUT'!$A$3:$A$3000,"&lt;"&amp;DATE(2023,1,31),'DATA INPUT'!$F$3:$F$3000,"&lt;&gt;*Exclude*"))/(COUNTIFS('DATA INPUT'!$B$3:$B$3000,'Report Tables'!AN$1,'DATA INPUT'!$A$3:$A$3000,"&gt;="&amp;DATE(2023,1,1),'DATA INPUT'!$A$3:$A$3000,"&lt;"&amp;DATE(2023,1,31),'DATA INPUT'!$F$3:$F$3000,"&lt;&gt;*Exclude*")),#N/A))</f>
        <v>#N/A</v>
      </c>
      <c r="AO75" s="117" t="e">
        <f>IF($L$2="Yes",IFERROR((SUMIFS('DATA INPUT'!$E$3:$E$3000,'DATA INPUT'!$B$3:$B$3000,'Report Tables'!AO$1,'DATA INPUT'!$A$3:$A$3000,"&gt;="&amp;DATE(2023,1,1),'DATA INPUT'!$A$3:$A$3000,"&lt;"&amp;DATE(2023,1,31)))/COUNTIFS('DATA INPUT'!$B$3:$B$3000,'Report Tables'!AO$1,'DATA INPUT'!$A$3:$A$3000,"&gt;="&amp;DATE(2023,1,1),'DATA INPUT'!$A$3:$A$3000,"&lt;"&amp;DATE(2023,1,31)),#N/A),IFERROR((SUMIFS('DATA INPUT'!$E$3:$E$3000,'DATA INPUT'!$B$3:$B$3000,'Report Tables'!AO$1,'DATA INPUT'!$A$3:$A$3000,"&gt;="&amp;DATE(2023,1,1),'DATA INPUT'!$A$3:$A$3000,"&lt;"&amp;DATE(2023,1,31),'DATA INPUT'!$F$3:$F$3000,"&lt;&gt;*Exclude*"))/(COUNTIFS('DATA INPUT'!$B$3:$B$3000,'Report Tables'!AO$1,'DATA INPUT'!$A$3:$A$3000,"&gt;="&amp;DATE(2023,1,1),'DATA INPUT'!$A$3:$A$3000,"&lt;"&amp;DATE(2023,1,31),'DATA INPUT'!$F$3:$F$3000,"&lt;&gt;*Exclude*")),#N/A))</f>
        <v>#N/A</v>
      </c>
      <c r="AP75" s="117" t="e">
        <f>IF($L$2="Yes",IFERROR((SUMIFS('DATA INPUT'!$E$3:$E$3000,'DATA INPUT'!$B$3:$B$3000,'Report Tables'!AP$1,'DATA INPUT'!$A$3:$A$3000,"&gt;="&amp;DATE(2023,1,1),'DATA INPUT'!$A$3:$A$3000,"&lt;"&amp;DATE(2023,1,31)))/COUNTIFS('DATA INPUT'!$B$3:$B$3000,'Report Tables'!AP$1,'DATA INPUT'!$A$3:$A$3000,"&gt;="&amp;DATE(2023,1,1),'DATA INPUT'!$A$3:$A$3000,"&lt;"&amp;DATE(2023,1,31)),#N/A),IFERROR((SUMIFS('DATA INPUT'!$E$3:$E$3000,'DATA INPUT'!$B$3:$B$3000,'Report Tables'!AP$1,'DATA INPUT'!$A$3:$A$3000,"&gt;="&amp;DATE(2023,1,1),'DATA INPUT'!$A$3:$A$3000,"&lt;"&amp;DATE(2023,1,31),'DATA INPUT'!$F$3:$F$3000,"&lt;&gt;*Exclude*"))/(COUNTIFS('DATA INPUT'!$B$3:$B$3000,'Report Tables'!AP$1,'DATA INPUT'!$A$3:$A$3000,"&gt;="&amp;DATE(2023,1,1),'DATA INPUT'!$A$3:$A$3000,"&lt;"&amp;DATE(2023,1,31),'DATA INPUT'!$F$3:$F$3000,"&lt;&gt;*Exclude*")),#N/A))</f>
        <v>#N/A</v>
      </c>
      <c r="AQ75" s="117" t="e">
        <f>IF($L$2="Yes",IFERROR((SUMIFS('DATA INPUT'!$E$3:$E$3000,'DATA INPUT'!$B$3:$B$3000,'Report Tables'!AQ$1,'DATA INPUT'!$A$3:$A$3000,"&gt;="&amp;DATE(2023,1,1),'DATA INPUT'!$A$3:$A$3000,"&lt;"&amp;DATE(2023,1,31)))/COUNTIFS('DATA INPUT'!$B$3:$B$3000,'Report Tables'!AQ$1,'DATA INPUT'!$A$3:$A$3000,"&gt;="&amp;DATE(2023,1,1),'DATA INPUT'!$A$3:$A$3000,"&lt;"&amp;DATE(2023,1,31)),#N/A),IFERROR((SUMIFS('DATA INPUT'!$E$3:$E$3000,'DATA INPUT'!$B$3:$B$3000,'Report Tables'!AQ$1,'DATA INPUT'!$A$3:$A$3000,"&gt;="&amp;DATE(2023,1,1),'DATA INPUT'!$A$3:$A$3000,"&lt;"&amp;DATE(2023,1,31),'DATA INPUT'!$F$3:$F$3000,"&lt;&gt;*Exclude*"))/(COUNTIFS('DATA INPUT'!$B$3:$B$3000,'Report Tables'!AQ$1,'DATA INPUT'!$A$3:$A$3000,"&gt;="&amp;DATE(2023,1,1),'DATA INPUT'!$A$3:$A$3000,"&lt;"&amp;DATE(2023,1,31),'DATA INPUT'!$F$3:$F$3000,"&lt;&gt;*Exclude*")),#N/A))</f>
        <v>#N/A</v>
      </c>
      <c r="AR75" s="117" t="e">
        <f>IF($L$2="Yes",IFERROR((SUMIFS('DATA INPUT'!$E$3:$E$3000,'DATA INPUT'!$B$3:$B$3000,'Report Tables'!AR$1,'DATA INPUT'!$A$3:$A$3000,"&gt;="&amp;DATE(2023,1,1),'DATA INPUT'!$A$3:$A$3000,"&lt;"&amp;DATE(2023,1,31)))/COUNTIFS('DATA INPUT'!$B$3:$B$3000,'Report Tables'!AR$1,'DATA INPUT'!$A$3:$A$3000,"&gt;="&amp;DATE(2023,1,1),'DATA INPUT'!$A$3:$A$3000,"&lt;"&amp;DATE(2023,1,31)),#N/A),IFERROR((SUMIFS('DATA INPUT'!$E$3:$E$3000,'DATA INPUT'!$B$3:$B$3000,'Report Tables'!AR$1,'DATA INPUT'!$A$3:$A$3000,"&gt;="&amp;DATE(2023,1,1),'DATA INPUT'!$A$3:$A$3000,"&lt;"&amp;DATE(2023,1,31),'DATA INPUT'!$F$3:$F$3000,"&lt;&gt;*Exclude*"))/(COUNTIFS('DATA INPUT'!$B$3:$B$3000,'Report Tables'!AR$1,'DATA INPUT'!$A$3:$A$3000,"&gt;="&amp;DATE(2023,1,1),'DATA INPUT'!$A$3:$A$3000,"&lt;"&amp;DATE(2023,1,31),'DATA INPUT'!$F$3:$F$3000,"&lt;&gt;*Exclude*")),#N/A))</f>
        <v>#N/A</v>
      </c>
      <c r="AS75" s="117" t="e">
        <f>IF($L$2="Yes",IFERROR((SUMIFS('DATA INPUT'!$E$3:$E$3000,'DATA INPUT'!$B$3:$B$3000,'Report Tables'!AS$1,'DATA INPUT'!$A$3:$A$3000,"&gt;="&amp;DATE(2023,1,1),'DATA INPUT'!$A$3:$A$3000,"&lt;"&amp;DATE(2023,1,31)))/COUNTIFS('DATA INPUT'!$B$3:$B$3000,'Report Tables'!AS$1,'DATA INPUT'!$A$3:$A$3000,"&gt;="&amp;DATE(2023,1,1),'DATA INPUT'!$A$3:$A$3000,"&lt;"&amp;DATE(2023,1,31)),#N/A),IFERROR((SUMIFS('DATA INPUT'!$E$3:$E$3000,'DATA INPUT'!$B$3:$B$3000,'Report Tables'!AS$1,'DATA INPUT'!$A$3:$A$3000,"&gt;="&amp;DATE(2023,1,1),'DATA INPUT'!$A$3:$A$3000,"&lt;"&amp;DATE(2023,1,31),'DATA INPUT'!$F$3:$F$3000,"&lt;&gt;*Exclude*"))/(COUNTIFS('DATA INPUT'!$B$3:$B$3000,'Report Tables'!AS$1,'DATA INPUT'!$A$3:$A$3000,"&gt;="&amp;DATE(2023,1,1),'DATA INPUT'!$A$3:$A$3000,"&lt;"&amp;DATE(2023,1,31),'DATA INPUT'!$F$3:$F$3000,"&lt;&gt;*Exclude*")),#N/A))</f>
        <v>#N/A</v>
      </c>
      <c r="AT75" s="117" t="e">
        <f>IF($L$2="Yes",IFERROR((SUMIFS('DATA INPUT'!$E$3:$E$3000,'DATA INPUT'!$B$3:$B$3000,'Report Tables'!AT$1,'DATA INPUT'!$A$3:$A$3000,"&gt;="&amp;DATE(2023,1,1),'DATA INPUT'!$A$3:$A$3000,"&lt;"&amp;DATE(2023,1,31)))/COUNTIFS('DATA INPUT'!$B$3:$B$3000,'Report Tables'!AT$1,'DATA INPUT'!$A$3:$A$3000,"&gt;="&amp;DATE(2023,1,1),'DATA INPUT'!$A$3:$A$3000,"&lt;"&amp;DATE(2023,1,31)),#N/A),IFERROR((SUMIFS('DATA INPUT'!$E$3:$E$3000,'DATA INPUT'!$B$3:$B$3000,'Report Tables'!AT$1,'DATA INPUT'!$A$3:$A$3000,"&gt;="&amp;DATE(2023,1,1),'DATA INPUT'!$A$3:$A$3000,"&lt;"&amp;DATE(2023,1,31),'DATA INPUT'!$F$3:$F$3000,"&lt;&gt;*Exclude*"))/(COUNTIFS('DATA INPUT'!$B$3:$B$3000,'Report Tables'!AT$1,'DATA INPUT'!$A$3:$A$3000,"&gt;="&amp;DATE(2023,1,1),'DATA INPUT'!$A$3:$A$3000,"&lt;"&amp;DATE(2023,1,31),'DATA INPUT'!$F$3:$F$3000,"&lt;&gt;*Exclude*")),#N/A))</f>
        <v>#N/A</v>
      </c>
      <c r="AU75" s="117" t="e">
        <f t="shared" si="24"/>
        <v>#N/A</v>
      </c>
      <c r="AV75" s="117" t="e">
        <f>IF($L$2="Yes",IFERROR((SUMIFS('DATA INPUT'!$D$3:$D$3000,'DATA INPUT'!$A$3:$A$3000,"&gt;="&amp;DATE(2023,1,1),'DATA INPUT'!$A$3:$A$3000,"&lt;"&amp;DATE(2023,1,31),'DATA INPUT'!$G$3:$G$3000,"&lt;&gt;*School service*"))/COUNTIFS('DATA INPUT'!$A$3:$A$3000,"&gt;="&amp;DATE(2023,1,1),'DATA INPUT'!$A$3:$A$3000,"&lt;"&amp;DATE(2023,1,31),'DATA INPUT'!$G$3:$G$3000,"&lt;&gt;*School service*",'DATA INPUT'!$D$3:$D$3000,"&lt;&gt;"&amp;""),#N/A),IFERROR((SUMIFS('DATA INPUT'!$D$3:$D$3000,'DATA INPUT'!$A$3:$A$3000,"&gt;="&amp;DATE(2023,1,1),'DATA INPUT'!$A$3:$A$3000,"&lt;"&amp;DATE(2023,1,31),'DATA INPUT'!$F$3:$F$3000,"&lt;&gt;*Exclude*",'DATA INPUT'!$G$3:$G$3000,"&lt;&gt;*School service*"))/(COUNTIFS('DATA INPUT'!$A$3:$A$3000,"&gt;="&amp;DATE(2023,1,1),'DATA INPUT'!$A$3:$A$3000,"&lt;"&amp;DATE(2023,1,31),'DATA INPUT'!$F$3:$F$3000,"&lt;&gt;*Exclude*",'DATA INPUT'!$G$3:$G$3000,"&lt;&gt;*School service*",'DATA INPUT'!$D$3:$D$3000,"&lt;&gt;"&amp;"")),#N/A))</f>
        <v>#N/A</v>
      </c>
      <c r="AW75" s="117" t="e">
        <f t="shared" si="25"/>
        <v>#N/A</v>
      </c>
      <c r="AX75" s="117" t="e">
        <f>IF($L$2="Yes",IFERROR((SUMIFS('DATA INPUT'!$E$3:$E$3000,'DATA INPUT'!$B$3:$B$3000,'Report Tables'!AX$1,'DATA INPUT'!$A$3:$A$3000,"&gt;="&amp;DATE(2023,1,1),'DATA INPUT'!$A$3:$A$3000,"&lt;"&amp;DATE(2023,1,31)))/COUNTIFS('DATA INPUT'!$B$3:$B$3000,'Report Tables'!AX$1,'DATA INPUT'!$A$3:$A$3000,"&gt;="&amp;DATE(2023,1,1),'DATA INPUT'!$A$3:$A$3000,"&lt;"&amp;DATE(2023,1,31)),#N/A),IFERROR((SUMIFS('DATA INPUT'!$E$3:$E$3000,'DATA INPUT'!$B$3:$B$3000,'Report Tables'!AX$1,'DATA INPUT'!$A$3:$A$3000,"&gt;="&amp;DATE(2023,1,1),'DATA INPUT'!$A$3:$A$3000,"&lt;"&amp;DATE(2023,1,31),'DATA INPUT'!$F$3:$F$3000,"&lt;&gt;*Exclude*"))/(COUNTIFS('DATA INPUT'!$B$3:$B$3000,'Report Tables'!AX$1,'DATA INPUT'!$A$3:$A$3000,"&gt;="&amp;DATE(2023,1,1),'DATA INPUT'!$A$3:$A$3000,"&lt;"&amp;DATE(2023,1,31),'DATA INPUT'!$F$3:$F$3000,"&lt;&gt;*Exclude*")),#N/A))</f>
        <v>#N/A</v>
      </c>
      <c r="AY75" s="117" t="e">
        <f>IF($L$2="Yes",IFERROR((SUMIFS('DATA INPUT'!$D$3:$D$3000,'DATA INPUT'!$B$3:$B$3000,'Report Tables'!AX$1,'DATA INPUT'!$A$3:$A$3000,"&gt;="&amp;DATE(2023,1,1),'DATA INPUT'!$A$3:$A$3000,"&lt;"&amp;DATE(2023,1,31)))/COUNTIFS('DATA INPUT'!$B$3:$B$3000,'Report Tables'!AX$1,'DATA INPUT'!$A$3:$A$3000,"&gt;="&amp;DATE(2023,1,1),'DATA INPUT'!$A$3:$A$3000,"&lt;"&amp;DATE(2023,1,31)),#N/A),IFERROR((SUMIFS('DATA INPUT'!$D$3:$D$3000,'DATA INPUT'!$B$3:$B$3000,'Report Tables'!AX$1,'DATA INPUT'!$A$3:$A$3000,"&gt;="&amp;DATE(2023,1,1),'DATA INPUT'!$A$3:$A$3000,"&lt;"&amp;DATE(2023,1,31),'DATA INPUT'!$F$3:$F$3000,"&lt;&gt;*Exclude*"))/(COUNTIFS('DATA INPUT'!$B$3:$B$3000,'Report Tables'!AX$1,'DATA INPUT'!$A$3:$A$3000,"&gt;="&amp;DATE(2023,1,1),'DATA INPUT'!$A$3:$A$3000,"&lt;"&amp;DATE(2023,1,31),'DATA INPUT'!$F$3:$F$3000,"&lt;&gt;*Exclude*")),#N/A))</f>
        <v>#N/A</v>
      </c>
      <c r="AZ75" s="117" t="e">
        <f>IF($L$2="Yes",IFERROR((SUMIFS('DATA INPUT'!$C$3:$C$3000,'DATA INPUT'!$B$3:$B$3000,'Report Tables'!AX$1,'DATA INPUT'!$A$3:$A$3000,"&gt;="&amp;DATE(2023,1,1),'DATA INPUT'!$A$3:$A$3000,"&lt;"&amp;DATE(2023,1,31)))/COUNTIFS('DATA INPUT'!$B$3:$B$3000,'Report Tables'!AX$1,'DATA INPUT'!$A$3:$A$3000,"&gt;="&amp;DATE(2023,1,1),'DATA INPUT'!$A$3:$A$3000,"&lt;"&amp;DATE(2023,1,31)),#N/A),IFERROR((SUMIFS('DATA INPUT'!$C$3:$C$3000,'DATA INPUT'!$B$3:$B$3000,'Report Tables'!AX$1,'DATA INPUT'!$A$3:$A$3000,"&gt;="&amp;DATE(2023,1,1),'DATA INPUT'!$A$3:$A$3000,"&lt;"&amp;DATE(2023,1,31),'DATA INPUT'!$F$3:$F$3000,"&lt;&gt;*Exclude*"))/(COUNTIFS('DATA INPUT'!$B$3:$B$3000,'Report Tables'!AX$1,'DATA INPUT'!$A$3:$A$3000,"&gt;="&amp;DATE(2023,1,1),'DATA INPUT'!$A$3:$A$3000,"&lt;"&amp;DATE(2023,1,31),'DATA INPUT'!$F$3:$F$3000,"&lt;&gt;*Exclude*")),#N/A))</f>
        <v>#N/A</v>
      </c>
    </row>
    <row r="76" spans="25:52" x14ac:dyDescent="0.3">
      <c r="Y76" s="149"/>
      <c r="Z76" s="149" t="s">
        <v>13</v>
      </c>
      <c r="AA76" s="136" t="e">
        <f>IF($L$2="Yes",IF(SUMIFS('DATA INPUT'!$E$3:$E$3000,'DATA INPUT'!$B$3:$B$3000,'Report Tables'!AA$1,'DATA INPUT'!$A$3:$A$3000,"&gt;="&amp;DATE(2023,2,1),'DATA INPUT'!$A$3:$A$3000,"&lt;"&amp;DATE(2023,2,31))=0,#N/A,(SUMIFS('DATA INPUT'!$E$3:$E$3000,'DATA INPUT'!$B$3:$B$3000,'Report Tables'!AA$1,'DATA INPUT'!$A$3:$A$3000,"&gt;="&amp;DATE(2023,2,1),'DATA INPUT'!$A$3:$A$3000,"&lt;"&amp;DATE(2023,2,31)))),IF(SUMIFS('DATA INPUT'!$E$3:$E$3000,'DATA INPUT'!$B$3:$B$3000,'Report Tables'!AA$1,'DATA INPUT'!$A$3:$A$3000,"&gt;="&amp;DATE(2023,2,1),'DATA INPUT'!$A$3:$A$3000,"&lt;"&amp;DATE(2023,2,31),'DATA INPUT'!$F$3:$F$3000,"&lt;&gt;*Exclude*")=0,#N/A,(SUMIFS('DATA INPUT'!$E$3:$E$3000,'DATA INPUT'!$B$3:$B$3000,'Report Tables'!AA$1,'DATA INPUT'!$A$3:$A$3000,"&gt;="&amp;DATE(2023,2,1),'DATA INPUT'!$A$3:$A$3000,"&lt;"&amp;DATE(2023,2,31),'DATA INPUT'!$F$3:$F$3000,"&lt;&gt;*Exclude*"))))</f>
        <v>#N/A</v>
      </c>
      <c r="AB76" s="136" t="e">
        <f>IF($L$2="Yes",IF(SUMIFS('DATA INPUT'!$E$3:$E$3000,'DATA INPUT'!$B$3:$B$3000,'Report Tables'!AB$1,'DATA INPUT'!$A$3:$A$3000,"&gt;="&amp;DATE(2023,2,1),'DATA INPUT'!$A$3:$A$3000,"&lt;"&amp;DATE(2023,2,31))=0,#N/A,(SUMIFS('DATA INPUT'!$E$3:$E$3000,'DATA INPUT'!$B$3:$B$3000,'Report Tables'!AB$1,'DATA INPUT'!$A$3:$A$3000,"&gt;="&amp;DATE(2023,2,1),'DATA INPUT'!$A$3:$A$3000,"&lt;"&amp;DATE(2023,2,31)))),IF(SUMIFS('DATA INPUT'!$E$3:$E$3000,'DATA INPUT'!$B$3:$B$3000,'Report Tables'!AB$1,'DATA INPUT'!$A$3:$A$3000,"&gt;="&amp;DATE(2023,2,1),'DATA INPUT'!$A$3:$A$3000,"&lt;"&amp;DATE(2023,2,31),'DATA INPUT'!$F$3:$F$3000,"&lt;&gt;*Exclude*")=0,#N/A,(SUMIFS('DATA INPUT'!$E$3:$E$3000,'DATA INPUT'!$B$3:$B$3000,'Report Tables'!AB$1,'DATA INPUT'!$A$3:$A$3000,"&gt;="&amp;DATE(2023,2,1),'DATA INPUT'!$A$3:$A$3000,"&lt;"&amp;DATE(2023,2,31),'DATA INPUT'!$F$3:$F$3000,"&lt;&gt;*Exclude*"))))</f>
        <v>#N/A</v>
      </c>
      <c r="AC76" s="136" t="e">
        <f>IF($L$2="Yes",IF(SUMIFS('DATA INPUT'!$E$3:$E$3000,'DATA INPUT'!$B$3:$B$3000,'Report Tables'!AC$1,'DATA INPUT'!$A$3:$A$3000,"&gt;="&amp;DATE(2023,2,1),'DATA INPUT'!$A$3:$A$3000,"&lt;"&amp;DATE(2023,2,31))=0,#N/A,(SUMIFS('DATA INPUT'!$E$3:$E$3000,'DATA INPUT'!$B$3:$B$3000,'Report Tables'!AC$1,'DATA INPUT'!$A$3:$A$3000,"&gt;="&amp;DATE(2023,2,1),'DATA INPUT'!$A$3:$A$3000,"&lt;"&amp;DATE(2023,2,31)))),IF(SUMIFS('DATA INPUT'!$E$3:$E$3000,'DATA INPUT'!$B$3:$B$3000,'Report Tables'!AC$1,'DATA INPUT'!$A$3:$A$3000,"&gt;="&amp;DATE(2023,2,1),'DATA INPUT'!$A$3:$A$3000,"&lt;"&amp;DATE(2023,2,31),'DATA INPUT'!$F$3:$F$3000,"&lt;&gt;*Exclude*")=0,#N/A,(SUMIFS('DATA INPUT'!$E$3:$E$3000,'DATA INPUT'!$B$3:$B$3000,'Report Tables'!AC$1,'DATA INPUT'!$A$3:$A$3000,"&gt;="&amp;DATE(2023,2,1),'DATA INPUT'!$A$3:$A$3000,"&lt;"&amp;DATE(2023,2,31),'DATA INPUT'!$F$3:$F$3000,"&lt;&gt;*Exclude*"))))</f>
        <v>#N/A</v>
      </c>
      <c r="AD76" s="136" t="e">
        <f>IF($L$2="Yes",IF(SUMIFS('DATA INPUT'!$E$3:$E$3000,'DATA INPUT'!$B$3:$B$3000,'Report Tables'!AD$1,'DATA INPUT'!$A$3:$A$3000,"&gt;="&amp;DATE(2023,2,1),'DATA INPUT'!$A$3:$A$3000,"&lt;"&amp;DATE(2023,2,31))=0,#N/A,(SUMIFS('DATA INPUT'!$E$3:$E$3000,'DATA INPUT'!$B$3:$B$3000,'Report Tables'!AD$1,'DATA INPUT'!$A$3:$A$3000,"&gt;="&amp;DATE(2023,2,1),'DATA INPUT'!$A$3:$A$3000,"&lt;"&amp;DATE(2023,2,31)))),IF(SUMIFS('DATA INPUT'!$E$3:$E$3000,'DATA INPUT'!$B$3:$B$3000,'Report Tables'!AD$1,'DATA INPUT'!$A$3:$A$3000,"&gt;="&amp;DATE(2023,2,1),'DATA INPUT'!$A$3:$A$3000,"&lt;"&amp;DATE(2023,2,31),'DATA INPUT'!$F$3:$F$3000,"&lt;&gt;*Exclude*")=0,#N/A,(SUMIFS('DATA INPUT'!$E$3:$E$3000,'DATA INPUT'!$B$3:$B$3000,'Report Tables'!AD$1,'DATA INPUT'!$A$3:$A$3000,"&gt;="&amp;DATE(2023,2,1),'DATA INPUT'!$A$3:$A$3000,"&lt;"&amp;DATE(2023,2,31),'DATA INPUT'!$F$3:$F$3000,"&lt;&gt;*Exclude*"))))</f>
        <v>#N/A</v>
      </c>
      <c r="AE76" s="136" t="e">
        <f>IF($L$2="Yes",IF(SUMIFS('DATA INPUT'!$E$3:$E$3000,'DATA INPUT'!$B$3:$B$3000,'Report Tables'!AE$1,'DATA INPUT'!$A$3:$A$3000,"&gt;="&amp;DATE(2023,2,1),'DATA INPUT'!$A$3:$A$3000,"&lt;"&amp;DATE(2023,2,31))=0,#N/A,(SUMIFS('DATA INPUT'!$E$3:$E$3000,'DATA INPUT'!$B$3:$B$3000,'Report Tables'!AE$1,'DATA INPUT'!$A$3:$A$3000,"&gt;="&amp;DATE(2023,2,1),'DATA INPUT'!$A$3:$A$3000,"&lt;"&amp;DATE(2023,2,31)))),IF(SUMIFS('DATA INPUT'!$E$3:$E$3000,'DATA INPUT'!$B$3:$B$3000,'Report Tables'!AE$1,'DATA INPUT'!$A$3:$A$3000,"&gt;="&amp;DATE(2023,2,1),'DATA INPUT'!$A$3:$A$3000,"&lt;"&amp;DATE(2023,2,31),'DATA INPUT'!$F$3:$F$3000,"&lt;&gt;*Exclude*")=0,#N/A,(SUMIFS('DATA INPUT'!$E$3:$E$3000,'DATA INPUT'!$B$3:$B$3000,'Report Tables'!AE$1,'DATA INPUT'!$A$3:$A$3000,"&gt;="&amp;DATE(2023,2,1),'DATA INPUT'!$A$3:$A$3000,"&lt;"&amp;DATE(2023,2,31),'DATA INPUT'!$F$3:$F$3000,"&lt;&gt;*Exclude*"))))</f>
        <v>#N/A</v>
      </c>
      <c r="AF76" s="136" t="e">
        <f>IF($L$2="Yes",IF(SUMIFS('DATA INPUT'!$E$3:$E$3000,'DATA INPUT'!$B$3:$B$3000,'Report Tables'!AF$1,'DATA INPUT'!$A$3:$A$3000,"&gt;="&amp;DATE(2023,2,1),'DATA INPUT'!$A$3:$A$3000,"&lt;"&amp;DATE(2023,2,31))=0,#N/A,(SUMIFS('DATA INPUT'!$E$3:$E$3000,'DATA INPUT'!$B$3:$B$3000,'Report Tables'!AF$1,'DATA INPUT'!$A$3:$A$3000,"&gt;="&amp;DATE(2023,2,1),'DATA INPUT'!$A$3:$A$3000,"&lt;"&amp;DATE(2023,2,31)))),IF(SUMIFS('DATA INPUT'!$E$3:$E$3000,'DATA INPUT'!$B$3:$B$3000,'Report Tables'!AF$1,'DATA INPUT'!$A$3:$A$3000,"&gt;="&amp;DATE(2023,2,1),'DATA INPUT'!$A$3:$A$3000,"&lt;"&amp;DATE(2023,2,31),'DATA INPUT'!$F$3:$F$3000,"&lt;&gt;*Exclude*")=0,#N/A,(SUMIFS('DATA INPUT'!$E$3:$E$3000,'DATA INPUT'!$B$3:$B$3000,'Report Tables'!AF$1,'DATA INPUT'!$A$3:$A$3000,"&gt;="&amp;DATE(2023,2,1),'DATA INPUT'!$A$3:$A$3000,"&lt;"&amp;DATE(2023,2,31),'DATA INPUT'!$F$3:$F$3000,"&lt;&gt;*Exclude*"))))</f>
        <v>#N/A</v>
      </c>
      <c r="AG76" s="136" t="e">
        <f>IF($L$2="Yes",IF(SUMIFS('DATA INPUT'!$E$3:$E$3000,'DATA INPUT'!$B$3:$B$3000,'Report Tables'!AG$1,'DATA INPUT'!$A$3:$A$3000,"&gt;="&amp;DATE(2023,2,1),'DATA INPUT'!$A$3:$A$3000,"&lt;"&amp;DATE(2023,2,31))=0,#N/A,(SUMIFS('DATA INPUT'!$E$3:$E$3000,'DATA INPUT'!$B$3:$B$3000,'Report Tables'!AG$1,'DATA INPUT'!$A$3:$A$3000,"&gt;="&amp;DATE(2023,2,1),'DATA INPUT'!$A$3:$A$3000,"&lt;"&amp;DATE(2023,2,31)))),IF(SUMIFS('DATA INPUT'!$E$3:$E$3000,'DATA INPUT'!$B$3:$B$3000,'Report Tables'!AG$1,'DATA INPUT'!$A$3:$A$3000,"&gt;="&amp;DATE(2023,2,1),'DATA INPUT'!$A$3:$A$3000,"&lt;"&amp;DATE(2023,2,31),'DATA INPUT'!$F$3:$F$3000,"&lt;&gt;*Exclude*")=0,#N/A,(SUMIFS('DATA INPUT'!$E$3:$E$3000,'DATA INPUT'!$B$3:$B$3000,'Report Tables'!AG$1,'DATA INPUT'!$A$3:$A$3000,"&gt;="&amp;DATE(2023,2,1),'DATA INPUT'!$A$3:$A$3000,"&lt;"&amp;DATE(2023,2,31),'DATA INPUT'!$F$3:$F$3000,"&lt;&gt;*Exclude*"))))</f>
        <v>#N/A</v>
      </c>
      <c r="AH76" s="136" t="e">
        <f>IF($L$2="Yes",IF(SUMIFS('DATA INPUT'!$E$3:$E$3000,'DATA INPUT'!$B$3:$B$3000,'Report Tables'!AH$1,'DATA INPUT'!$A$3:$A$3000,"&gt;="&amp;DATE(2023,2,1),'DATA INPUT'!$A$3:$A$3000,"&lt;"&amp;DATE(2023,2,31))=0,#N/A,(SUMIFS('DATA INPUT'!$E$3:$E$3000,'DATA INPUT'!$B$3:$B$3000,'Report Tables'!AH$1,'DATA INPUT'!$A$3:$A$3000,"&gt;="&amp;DATE(2023,2,1),'DATA INPUT'!$A$3:$A$3000,"&lt;"&amp;DATE(2023,2,31)))),IF(SUMIFS('DATA INPUT'!$E$3:$E$3000,'DATA INPUT'!$B$3:$B$3000,'Report Tables'!AH$1,'DATA INPUT'!$A$3:$A$3000,"&gt;="&amp;DATE(2023,2,1),'DATA INPUT'!$A$3:$A$3000,"&lt;"&amp;DATE(2023,2,31),'DATA INPUT'!$F$3:$F$3000,"&lt;&gt;*Exclude*")=0,#N/A,(SUMIFS('DATA INPUT'!$E$3:$E$3000,'DATA INPUT'!$B$3:$B$3000,'Report Tables'!AH$1,'DATA INPUT'!$A$3:$A$3000,"&gt;="&amp;DATE(2023,2,1),'DATA INPUT'!$A$3:$A$3000,"&lt;"&amp;DATE(2023,2,31),'DATA INPUT'!$F$3:$F$3000,"&lt;&gt;*Exclude*"))))</f>
        <v>#N/A</v>
      </c>
      <c r="AI76" s="136" t="e">
        <f t="shared" si="23"/>
        <v>#N/A</v>
      </c>
      <c r="AJ76" s="136" t="e">
        <f>IF($L$2="Yes",IF(SUMIFS('DATA INPUT'!$D$3:$D$3000,'DATA INPUT'!$A$3:$A$3000,"&gt;="&amp;DATE(2023,2,1),'DATA INPUT'!$A$3:$A$3000,"&lt;"&amp;DATE(2023,2,31),'DATA INPUT'!$G$3:$G$3000,"&lt;&gt;*School service*")=0,#N/A,(SUMIFS('DATA INPUT'!$D$3:$D$3000,'DATA INPUT'!$A$3:$A$3000,"&gt;="&amp;DATE(2023,2,1),'DATA INPUT'!$A$3:$A$3000,"&lt;"&amp;DATE(2023,2,31),'DATA INPUT'!$G$3:$G$3000,"&lt;&gt;*School service*"))),IF(SUMIFS('DATA INPUT'!$D$3:$D$3000,'DATA INPUT'!$A$3:$A$3000,"&gt;="&amp;DATE(2023,2,1),'DATA INPUT'!$A$3:$A$3000,"&lt;"&amp;DATE(2023,2,31),'DATA INPUT'!$F$3:$F$3000,"&lt;&gt;*Exclude*",'DATA INPUT'!$G$3:$G$3000,"&lt;&gt;*School service*")=0,#N/A,(SUMIFS('DATA INPUT'!$D$3:$D$3000,'DATA INPUT'!$A$3:$A$3000,"&gt;="&amp;DATE(2023,2,1),'DATA INPUT'!$A$3:$A$3000,"&lt;"&amp;DATE(2023,2,31),'DATA INPUT'!$F$3:$F$3000,"&lt;&gt;*Exclude*",'DATA INPUT'!$G$3:$G$3000,"&lt;&gt;*School service*"))))</f>
        <v>#N/A</v>
      </c>
      <c r="AK76" s="136" t="e">
        <f>AI76-AJ76</f>
        <v>#N/A</v>
      </c>
      <c r="AM76" s="117" t="e">
        <f>IF($L$2="Yes",IFERROR((SUMIFS('DATA INPUT'!$E$3:$E$3000,'DATA INPUT'!$B$3:$B$3000,'Report Tables'!AM$1,'DATA INPUT'!$A$3:$A$3000,"&gt;="&amp;DATE(2023,2,1),'DATA INPUT'!$A$3:$A$3000,"&lt;"&amp;DATE(2023,2,31)))/COUNTIFS('DATA INPUT'!$B$3:$B$3000,'Report Tables'!AM$1,'DATA INPUT'!$A$3:$A$3000,"&gt;="&amp;DATE(2023,2,1),'DATA INPUT'!$A$3:$A$3000,"&lt;"&amp;DATE(2023,2,31)),#N/A),IFERROR((SUMIFS('DATA INPUT'!$E$3:$E$3000,'DATA INPUT'!$B$3:$B$3000,'Report Tables'!AM$1,'DATA INPUT'!$A$3:$A$3000,"&gt;="&amp;DATE(2023,2,1),'DATA INPUT'!$A$3:$A$3000,"&lt;"&amp;DATE(2023,2,31),'DATA INPUT'!$F$3:$F$3000,"&lt;&gt;*Exclude*"))/(COUNTIFS('DATA INPUT'!$B$3:$B$3000,'Report Tables'!AM$1,'DATA INPUT'!$A$3:$A$3000,"&gt;="&amp;DATE(2023,2,1),'DATA INPUT'!$A$3:$A$3000,"&lt;"&amp;DATE(2023,2,31),'DATA INPUT'!$F$3:$F$3000,"&lt;&gt;*Exclude*")),#N/A))</f>
        <v>#N/A</v>
      </c>
      <c r="AN76" s="117" t="e">
        <f>IF($L$2="Yes",IFERROR((SUMIFS('DATA INPUT'!$E$3:$E$3000,'DATA INPUT'!$B$3:$B$3000,'Report Tables'!AN$1,'DATA INPUT'!$A$3:$A$3000,"&gt;="&amp;DATE(2023,2,1),'DATA INPUT'!$A$3:$A$3000,"&lt;"&amp;DATE(2023,2,31)))/COUNTIFS('DATA INPUT'!$B$3:$B$3000,'Report Tables'!AN$1,'DATA INPUT'!$A$3:$A$3000,"&gt;="&amp;DATE(2023,2,1),'DATA INPUT'!$A$3:$A$3000,"&lt;"&amp;DATE(2023,2,31)),#N/A),IFERROR((SUMIFS('DATA INPUT'!$E$3:$E$3000,'DATA INPUT'!$B$3:$B$3000,'Report Tables'!AN$1,'DATA INPUT'!$A$3:$A$3000,"&gt;="&amp;DATE(2023,2,1),'DATA INPUT'!$A$3:$A$3000,"&lt;"&amp;DATE(2023,2,31),'DATA INPUT'!$F$3:$F$3000,"&lt;&gt;*Exclude*"))/(COUNTIFS('DATA INPUT'!$B$3:$B$3000,'Report Tables'!AN$1,'DATA INPUT'!$A$3:$A$3000,"&gt;="&amp;DATE(2023,2,1),'DATA INPUT'!$A$3:$A$3000,"&lt;"&amp;DATE(2023,2,31),'DATA INPUT'!$F$3:$F$3000,"&lt;&gt;*Exclude*")),#N/A))</f>
        <v>#N/A</v>
      </c>
      <c r="AO76" s="117" t="e">
        <f>IF($L$2="Yes",IFERROR((SUMIFS('DATA INPUT'!$E$3:$E$3000,'DATA INPUT'!$B$3:$B$3000,'Report Tables'!AO$1,'DATA INPUT'!$A$3:$A$3000,"&gt;="&amp;DATE(2023,2,1),'DATA INPUT'!$A$3:$A$3000,"&lt;"&amp;DATE(2023,2,31)))/COUNTIFS('DATA INPUT'!$B$3:$B$3000,'Report Tables'!AO$1,'DATA INPUT'!$A$3:$A$3000,"&gt;="&amp;DATE(2023,2,1),'DATA INPUT'!$A$3:$A$3000,"&lt;"&amp;DATE(2023,2,31)),#N/A),IFERROR((SUMIFS('DATA INPUT'!$E$3:$E$3000,'DATA INPUT'!$B$3:$B$3000,'Report Tables'!AO$1,'DATA INPUT'!$A$3:$A$3000,"&gt;="&amp;DATE(2023,2,1),'DATA INPUT'!$A$3:$A$3000,"&lt;"&amp;DATE(2023,2,31),'DATA INPUT'!$F$3:$F$3000,"&lt;&gt;*Exclude*"))/(COUNTIFS('DATA INPUT'!$B$3:$B$3000,'Report Tables'!AO$1,'DATA INPUT'!$A$3:$A$3000,"&gt;="&amp;DATE(2023,2,1),'DATA INPUT'!$A$3:$A$3000,"&lt;"&amp;DATE(2023,2,31),'DATA INPUT'!$F$3:$F$3000,"&lt;&gt;*Exclude*")),#N/A))</f>
        <v>#N/A</v>
      </c>
      <c r="AP76" s="117" t="e">
        <f>IF($L$2="Yes",IFERROR((SUMIFS('DATA INPUT'!$E$3:$E$3000,'DATA INPUT'!$B$3:$B$3000,'Report Tables'!AP$1,'DATA INPUT'!$A$3:$A$3000,"&gt;="&amp;DATE(2023,2,1),'DATA INPUT'!$A$3:$A$3000,"&lt;"&amp;DATE(2023,2,31)))/COUNTIFS('DATA INPUT'!$B$3:$B$3000,'Report Tables'!AP$1,'DATA INPUT'!$A$3:$A$3000,"&gt;="&amp;DATE(2023,2,1),'DATA INPUT'!$A$3:$A$3000,"&lt;"&amp;DATE(2023,2,31)),#N/A),IFERROR((SUMIFS('DATA INPUT'!$E$3:$E$3000,'DATA INPUT'!$B$3:$B$3000,'Report Tables'!AP$1,'DATA INPUT'!$A$3:$A$3000,"&gt;="&amp;DATE(2023,2,1),'DATA INPUT'!$A$3:$A$3000,"&lt;"&amp;DATE(2023,2,31),'DATA INPUT'!$F$3:$F$3000,"&lt;&gt;*Exclude*"))/(COUNTIFS('DATA INPUT'!$B$3:$B$3000,'Report Tables'!AP$1,'DATA INPUT'!$A$3:$A$3000,"&gt;="&amp;DATE(2023,2,1),'DATA INPUT'!$A$3:$A$3000,"&lt;"&amp;DATE(2023,2,31),'DATA INPUT'!$F$3:$F$3000,"&lt;&gt;*Exclude*")),#N/A))</f>
        <v>#N/A</v>
      </c>
      <c r="AQ76" s="117" t="e">
        <f>IF($L$2="Yes",IFERROR((SUMIFS('DATA INPUT'!$E$3:$E$3000,'DATA INPUT'!$B$3:$B$3000,'Report Tables'!AQ$1,'DATA INPUT'!$A$3:$A$3000,"&gt;="&amp;DATE(2023,2,1),'DATA INPUT'!$A$3:$A$3000,"&lt;"&amp;DATE(2023,2,31)))/COUNTIFS('DATA INPUT'!$B$3:$B$3000,'Report Tables'!AQ$1,'DATA INPUT'!$A$3:$A$3000,"&gt;="&amp;DATE(2023,2,1),'DATA INPUT'!$A$3:$A$3000,"&lt;"&amp;DATE(2023,2,31)),#N/A),IFERROR((SUMIFS('DATA INPUT'!$E$3:$E$3000,'DATA INPUT'!$B$3:$B$3000,'Report Tables'!AQ$1,'DATA INPUT'!$A$3:$A$3000,"&gt;="&amp;DATE(2023,2,1),'DATA INPUT'!$A$3:$A$3000,"&lt;"&amp;DATE(2023,2,31),'DATA INPUT'!$F$3:$F$3000,"&lt;&gt;*Exclude*"))/(COUNTIFS('DATA INPUT'!$B$3:$B$3000,'Report Tables'!AQ$1,'DATA INPUT'!$A$3:$A$3000,"&gt;="&amp;DATE(2023,2,1),'DATA INPUT'!$A$3:$A$3000,"&lt;"&amp;DATE(2023,2,31),'DATA INPUT'!$F$3:$F$3000,"&lt;&gt;*Exclude*")),#N/A))</f>
        <v>#N/A</v>
      </c>
      <c r="AR76" s="117" t="e">
        <f>IF($L$2="Yes",IFERROR((SUMIFS('DATA INPUT'!$E$3:$E$3000,'DATA INPUT'!$B$3:$B$3000,'Report Tables'!AR$1,'DATA INPUT'!$A$3:$A$3000,"&gt;="&amp;DATE(2023,2,1),'DATA INPUT'!$A$3:$A$3000,"&lt;"&amp;DATE(2023,2,31)))/COUNTIFS('DATA INPUT'!$B$3:$B$3000,'Report Tables'!AR$1,'DATA INPUT'!$A$3:$A$3000,"&gt;="&amp;DATE(2023,2,1),'DATA INPUT'!$A$3:$A$3000,"&lt;"&amp;DATE(2023,2,31)),#N/A),IFERROR((SUMIFS('DATA INPUT'!$E$3:$E$3000,'DATA INPUT'!$B$3:$B$3000,'Report Tables'!AR$1,'DATA INPUT'!$A$3:$A$3000,"&gt;="&amp;DATE(2023,2,1),'DATA INPUT'!$A$3:$A$3000,"&lt;"&amp;DATE(2023,2,31),'DATA INPUT'!$F$3:$F$3000,"&lt;&gt;*Exclude*"))/(COUNTIFS('DATA INPUT'!$B$3:$B$3000,'Report Tables'!AR$1,'DATA INPUT'!$A$3:$A$3000,"&gt;="&amp;DATE(2023,2,1),'DATA INPUT'!$A$3:$A$3000,"&lt;"&amp;DATE(2023,2,31),'DATA INPUT'!$F$3:$F$3000,"&lt;&gt;*Exclude*")),#N/A))</f>
        <v>#N/A</v>
      </c>
      <c r="AS76" s="117" t="e">
        <f>IF($L$2="Yes",IFERROR((SUMIFS('DATA INPUT'!$E$3:$E$3000,'DATA INPUT'!$B$3:$B$3000,'Report Tables'!AS$1,'DATA INPUT'!$A$3:$A$3000,"&gt;="&amp;DATE(2023,2,1),'DATA INPUT'!$A$3:$A$3000,"&lt;"&amp;DATE(2023,2,31)))/COUNTIFS('DATA INPUT'!$B$3:$B$3000,'Report Tables'!AS$1,'DATA INPUT'!$A$3:$A$3000,"&gt;="&amp;DATE(2023,2,1),'DATA INPUT'!$A$3:$A$3000,"&lt;"&amp;DATE(2023,2,31)),#N/A),IFERROR((SUMIFS('DATA INPUT'!$E$3:$E$3000,'DATA INPUT'!$B$3:$B$3000,'Report Tables'!AS$1,'DATA INPUT'!$A$3:$A$3000,"&gt;="&amp;DATE(2023,2,1),'DATA INPUT'!$A$3:$A$3000,"&lt;"&amp;DATE(2023,2,31),'DATA INPUT'!$F$3:$F$3000,"&lt;&gt;*Exclude*"))/(COUNTIFS('DATA INPUT'!$B$3:$B$3000,'Report Tables'!AS$1,'DATA INPUT'!$A$3:$A$3000,"&gt;="&amp;DATE(2023,2,1),'DATA INPUT'!$A$3:$A$3000,"&lt;"&amp;DATE(2023,2,31),'DATA INPUT'!$F$3:$F$3000,"&lt;&gt;*Exclude*")),#N/A))</f>
        <v>#N/A</v>
      </c>
      <c r="AT76" s="117" t="e">
        <f>IF($L$2="Yes",IFERROR((SUMIFS('DATA INPUT'!$E$3:$E$3000,'DATA INPUT'!$B$3:$B$3000,'Report Tables'!AT$1,'DATA INPUT'!$A$3:$A$3000,"&gt;="&amp;DATE(2023,2,1),'DATA INPUT'!$A$3:$A$3000,"&lt;"&amp;DATE(2023,2,31)))/COUNTIFS('DATA INPUT'!$B$3:$B$3000,'Report Tables'!AT$1,'DATA INPUT'!$A$3:$A$3000,"&gt;="&amp;DATE(2023,2,1),'DATA INPUT'!$A$3:$A$3000,"&lt;"&amp;DATE(2023,2,31)),#N/A),IFERROR((SUMIFS('DATA INPUT'!$E$3:$E$3000,'DATA INPUT'!$B$3:$B$3000,'Report Tables'!AT$1,'DATA INPUT'!$A$3:$A$3000,"&gt;="&amp;DATE(2023,2,1),'DATA INPUT'!$A$3:$A$3000,"&lt;"&amp;DATE(2023,2,31),'DATA INPUT'!$F$3:$F$3000,"&lt;&gt;*Exclude*"))/(COUNTIFS('DATA INPUT'!$B$3:$B$3000,'Report Tables'!AT$1,'DATA INPUT'!$A$3:$A$3000,"&gt;="&amp;DATE(2023,2,1),'DATA INPUT'!$A$3:$A$3000,"&lt;"&amp;DATE(2023,2,31),'DATA INPUT'!$F$3:$F$3000,"&lt;&gt;*Exclude*")),#N/A))</f>
        <v>#N/A</v>
      </c>
      <c r="AU76" s="117" t="e">
        <f t="shared" si="24"/>
        <v>#N/A</v>
      </c>
      <c r="AV76" s="117" t="e">
        <f>IF($L$2="Yes",IFERROR((SUMIFS('DATA INPUT'!$D$3:$D$3000,'DATA INPUT'!$A$3:$A$3000,"&gt;="&amp;DATE(2023,2,1),'DATA INPUT'!$A$3:$A$3000,"&lt;"&amp;DATE(2023,2,31),'DATA INPUT'!$G$3:$G$3000,"&lt;&gt;*School service*"))/COUNTIFS('DATA INPUT'!$A$3:$A$3000,"&gt;="&amp;DATE(2023,2,1),'DATA INPUT'!$A$3:$A$3000,"&lt;"&amp;DATE(2023,2,31),'DATA INPUT'!$G$3:$G$3000,"&lt;&gt;*School service*",'DATA INPUT'!$D$3:$D$3000,"&lt;&gt;"&amp;""),#N/A),IFERROR((SUMIFS('DATA INPUT'!$D$3:$D$3000,'DATA INPUT'!$A$3:$A$3000,"&gt;="&amp;DATE(2023,2,1),'DATA INPUT'!$A$3:$A$3000,"&lt;"&amp;DATE(2023,2,31),'DATA INPUT'!$F$3:$F$3000,"&lt;&gt;*Exclude*",'DATA INPUT'!$G$3:$G$3000,"&lt;&gt;*School service*"))/(COUNTIFS('DATA INPUT'!$A$3:$A$3000,"&gt;="&amp;DATE(2023,2,1),'DATA INPUT'!$A$3:$A$3000,"&lt;"&amp;DATE(2023,2,31),'DATA INPUT'!$F$3:$F$3000,"&lt;&gt;*Exclude*",'DATA INPUT'!$G$3:$G$3000,"&lt;&gt;*School service*",'DATA INPUT'!$D$3:$D$3000,"&lt;&gt;"&amp;"")),#N/A))</f>
        <v>#N/A</v>
      </c>
      <c r="AW76" s="117" t="e">
        <f t="shared" si="25"/>
        <v>#N/A</v>
      </c>
      <c r="AX76" s="117" t="e">
        <f>IF($L$2="Yes",IFERROR((SUMIFS('DATA INPUT'!$E$3:$E$3000,'DATA INPUT'!$B$3:$B$3000,'Report Tables'!AX$1,'DATA INPUT'!$A$3:$A$3000,"&gt;="&amp;DATE(2023,2,1),'DATA INPUT'!$A$3:$A$3000,"&lt;"&amp;DATE(2023,2,31)))/COUNTIFS('DATA INPUT'!$B$3:$B$3000,'Report Tables'!AX$1,'DATA INPUT'!$A$3:$A$3000,"&gt;="&amp;DATE(2023,2,1),'DATA INPUT'!$A$3:$A$3000,"&lt;"&amp;DATE(2023,2,31)),#N/A),IFERROR((SUMIFS('DATA INPUT'!$E$3:$E$3000,'DATA INPUT'!$B$3:$B$3000,'Report Tables'!AX$1,'DATA INPUT'!$A$3:$A$3000,"&gt;="&amp;DATE(2023,2,1),'DATA INPUT'!$A$3:$A$3000,"&lt;"&amp;DATE(2023,2,31),'DATA INPUT'!$F$3:$F$3000,"&lt;&gt;*Exclude*"))/(COUNTIFS('DATA INPUT'!$B$3:$B$3000,'Report Tables'!AX$1,'DATA INPUT'!$A$3:$A$3000,"&gt;="&amp;DATE(2023,2,1),'DATA INPUT'!$A$3:$A$3000,"&lt;"&amp;DATE(2023,2,31),'DATA INPUT'!$F$3:$F$3000,"&lt;&gt;*Exclude*")),#N/A))</f>
        <v>#N/A</v>
      </c>
      <c r="AY76" s="117" t="e">
        <f>IF($L$2="Yes",IFERROR((SUMIFS('DATA INPUT'!$D$3:$D$3000,'DATA INPUT'!$B$3:$B$3000,'Report Tables'!AX$1,'DATA INPUT'!$A$3:$A$3000,"&gt;="&amp;DATE(2023,2,1),'DATA INPUT'!$A$3:$A$3000,"&lt;"&amp;DATE(2023,2,31)))/COUNTIFS('DATA INPUT'!$B$3:$B$3000,'Report Tables'!AX$1,'DATA INPUT'!$A$3:$A$3000,"&gt;="&amp;DATE(2023,2,1),'DATA INPUT'!$A$3:$A$3000,"&lt;"&amp;DATE(2023,2,31)),#N/A),IFERROR((SUMIFS('DATA INPUT'!$D$3:$D$3000,'DATA INPUT'!$B$3:$B$3000,'Report Tables'!AX$1,'DATA INPUT'!$A$3:$A$3000,"&gt;="&amp;DATE(2023,2,1),'DATA INPUT'!$A$3:$A$3000,"&lt;"&amp;DATE(2023,2,31),'DATA INPUT'!$F$3:$F$3000,"&lt;&gt;*Exclude*"))/(COUNTIFS('DATA INPUT'!$B$3:$B$3000,'Report Tables'!AX$1,'DATA INPUT'!$A$3:$A$3000,"&gt;="&amp;DATE(2023,2,1),'DATA INPUT'!$A$3:$A$3000,"&lt;"&amp;DATE(2023,2,31),'DATA INPUT'!$F$3:$F$3000,"&lt;&gt;*Exclude*")),#N/A))</f>
        <v>#N/A</v>
      </c>
      <c r="AZ76" s="117" t="e">
        <f>IF($L$2="Yes",IFERROR((SUMIFS('DATA INPUT'!$C$3:$C$3000,'DATA INPUT'!$B$3:$B$3000,'Report Tables'!AX$1,'DATA INPUT'!$A$3:$A$3000,"&gt;="&amp;DATE(2023,2,1),'DATA INPUT'!$A$3:$A$3000,"&lt;"&amp;DATE(2023,2,31)))/COUNTIFS('DATA INPUT'!$B$3:$B$3000,'Report Tables'!AX$1,'DATA INPUT'!$A$3:$A$3000,"&gt;="&amp;DATE(2023,2,1),'DATA INPUT'!$A$3:$A$3000,"&lt;"&amp;DATE(2023,2,31)),#N/A),IFERROR((SUMIFS('DATA INPUT'!$C$3:$C$3000,'DATA INPUT'!$B$3:$B$3000,'Report Tables'!AX$1,'DATA INPUT'!$A$3:$A$3000,"&gt;="&amp;DATE(2023,2,1),'DATA INPUT'!$A$3:$A$3000,"&lt;"&amp;DATE(2023,2,31),'DATA INPUT'!$F$3:$F$3000,"&lt;&gt;*Exclude*"))/(COUNTIFS('DATA INPUT'!$B$3:$B$3000,'Report Tables'!AX$1,'DATA INPUT'!$A$3:$A$3000,"&gt;="&amp;DATE(2023,2,1),'DATA INPUT'!$A$3:$A$3000,"&lt;"&amp;DATE(2023,2,31),'DATA INPUT'!$F$3:$F$3000,"&lt;&gt;*Exclude*")),#N/A))</f>
        <v>#N/A</v>
      </c>
    </row>
    <row r="77" spans="25:52" x14ac:dyDescent="0.3">
      <c r="Y77" s="149"/>
      <c r="Z77" s="149" t="s">
        <v>14</v>
      </c>
      <c r="AA77" s="136" t="e">
        <f>IF($L$2="Yes",IF(SUMIFS('DATA INPUT'!$E$3:$E$3000,'DATA INPUT'!$B$3:$B$3000,'Report Tables'!AA$1,'DATA INPUT'!$A$3:$A$3000,"&gt;="&amp;DATE(2023,3,1),'DATA INPUT'!$A$3:$A$3000,"&lt;"&amp;DATE(2023,3,31))=0,#N/A,(SUMIFS('DATA INPUT'!$E$3:$E$3000,'DATA INPUT'!$B$3:$B$3000,'Report Tables'!AA$1,'DATA INPUT'!$A$3:$A$3000,"&gt;="&amp;DATE(2023,3,1),'DATA INPUT'!$A$3:$A$3000,"&lt;"&amp;DATE(2023,3,31)))),IF(SUMIFS('DATA INPUT'!$E$3:$E$3000,'DATA INPUT'!$B$3:$B$3000,'Report Tables'!AA$1,'DATA INPUT'!$A$3:$A$3000,"&gt;="&amp;DATE(2023,3,1),'DATA INPUT'!$A$3:$A$3000,"&lt;"&amp;DATE(2023,3,31),'DATA INPUT'!$F$3:$F$3000,"&lt;&gt;*Exclude*")=0,#N/A,(SUMIFS('DATA INPUT'!$E$3:$E$3000,'DATA INPUT'!$B$3:$B$3000,'Report Tables'!AA$1,'DATA INPUT'!$A$3:$A$3000,"&gt;="&amp;DATE(2023,3,1),'DATA INPUT'!$A$3:$A$3000,"&lt;"&amp;DATE(2023,3,31),'DATA INPUT'!$F$3:$F$3000,"&lt;&gt;*Exclude*"))))</f>
        <v>#N/A</v>
      </c>
      <c r="AB77" s="136" t="e">
        <f>IF($L$2="Yes",IF(SUMIFS('DATA INPUT'!$E$3:$E$3000,'DATA INPUT'!$B$3:$B$3000,'Report Tables'!AB$1,'DATA INPUT'!$A$3:$A$3000,"&gt;="&amp;DATE(2023,3,1),'DATA INPUT'!$A$3:$A$3000,"&lt;"&amp;DATE(2023,3,31))=0,#N/A,(SUMIFS('DATA INPUT'!$E$3:$E$3000,'DATA INPUT'!$B$3:$B$3000,'Report Tables'!AB$1,'DATA INPUT'!$A$3:$A$3000,"&gt;="&amp;DATE(2023,3,1),'DATA INPUT'!$A$3:$A$3000,"&lt;"&amp;DATE(2023,3,31)))),IF(SUMIFS('DATA INPUT'!$E$3:$E$3000,'DATA INPUT'!$B$3:$B$3000,'Report Tables'!AB$1,'DATA INPUT'!$A$3:$A$3000,"&gt;="&amp;DATE(2023,3,1),'DATA INPUT'!$A$3:$A$3000,"&lt;"&amp;DATE(2023,3,31),'DATA INPUT'!$F$3:$F$3000,"&lt;&gt;*Exclude*")=0,#N/A,(SUMIFS('DATA INPUT'!$E$3:$E$3000,'DATA INPUT'!$B$3:$B$3000,'Report Tables'!AB$1,'DATA INPUT'!$A$3:$A$3000,"&gt;="&amp;DATE(2023,3,1),'DATA INPUT'!$A$3:$A$3000,"&lt;"&amp;DATE(2023,3,31),'DATA INPUT'!$F$3:$F$3000,"&lt;&gt;*Exclude*"))))</f>
        <v>#N/A</v>
      </c>
      <c r="AC77" s="136" t="e">
        <f>IF($L$2="Yes",IF(SUMIFS('DATA INPUT'!$E$3:$E$3000,'DATA INPUT'!$B$3:$B$3000,'Report Tables'!AC$1,'DATA INPUT'!$A$3:$A$3000,"&gt;="&amp;DATE(2023,3,1),'DATA INPUT'!$A$3:$A$3000,"&lt;"&amp;DATE(2023,3,31))=0,#N/A,(SUMIFS('DATA INPUT'!$E$3:$E$3000,'DATA INPUT'!$B$3:$B$3000,'Report Tables'!AC$1,'DATA INPUT'!$A$3:$A$3000,"&gt;="&amp;DATE(2023,3,1),'DATA INPUT'!$A$3:$A$3000,"&lt;"&amp;DATE(2023,3,31)))),IF(SUMIFS('DATA INPUT'!$E$3:$E$3000,'DATA INPUT'!$B$3:$B$3000,'Report Tables'!AC$1,'DATA INPUT'!$A$3:$A$3000,"&gt;="&amp;DATE(2023,3,1),'DATA INPUT'!$A$3:$A$3000,"&lt;"&amp;DATE(2023,3,31),'DATA INPUT'!$F$3:$F$3000,"&lt;&gt;*Exclude*")=0,#N/A,(SUMIFS('DATA INPUT'!$E$3:$E$3000,'DATA INPUT'!$B$3:$B$3000,'Report Tables'!AC$1,'DATA INPUT'!$A$3:$A$3000,"&gt;="&amp;DATE(2023,3,1),'DATA INPUT'!$A$3:$A$3000,"&lt;"&amp;DATE(2023,3,31),'DATA INPUT'!$F$3:$F$3000,"&lt;&gt;*Exclude*"))))</f>
        <v>#N/A</v>
      </c>
      <c r="AD77" s="136" t="e">
        <f>IF($L$2="Yes",IF(SUMIFS('DATA INPUT'!$E$3:$E$3000,'DATA INPUT'!$B$3:$B$3000,'Report Tables'!AD$1,'DATA INPUT'!$A$3:$A$3000,"&gt;="&amp;DATE(2023,3,1),'DATA INPUT'!$A$3:$A$3000,"&lt;"&amp;DATE(2023,3,31))=0,#N/A,(SUMIFS('DATA INPUT'!$E$3:$E$3000,'DATA INPUT'!$B$3:$B$3000,'Report Tables'!AD$1,'DATA INPUT'!$A$3:$A$3000,"&gt;="&amp;DATE(2023,3,1),'DATA INPUT'!$A$3:$A$3000,"&lt;"&amp;DATE(2023,3,31)))),IF(SUMIFS('DATA INPUT'!$E$3:$E$3000,'DATA INPUT'!$B$3:$B$3000,'Report Tables'!AD$1,'DATA INPUT'!$A$3:$A$3000,"&gt;="&amp;DATE(2023,3,1),'DATA INPUT'!$A$3:$A$3000,"&lt;"&amp;DATE(2023,3,31),'DATA INPUT'!$F$3:$F$3000,"&lt;&gt;*Exclude*")=0,#N/A,(SUMIFS('DATA INPUT'!$E$3:$E$3000,'DATA INPUT'!$B$3:$B$3000,'Report Tables'!AD$1,'DATA INPUT'!$A$3:$A$3000,"&gt;="&amp;DATE(2023,3,1),'DATA INPUT'!$A$3:$A$3000,"&lt;"&amp;DATE(2023,3,31),'DATA INPUT'!$F$3:$F$3000,"&lt;&gt;*Exclude*"))))</f>
        <v>#N/A</v>
      </c>
      <c r="AE77" s="136" t="e">
        <f>IF($L$2="Yes",IF(SUMIFS('DATA INPUT'!$E$3:$E$3000,'DATA INPUT'!$B$3:$B$3000,'Report Tables'!AE$1,'DATA INPUT'!$A$3:$A$3000,"&gt;="&amp;DATE(2023,3,1),'DATA INPUT'!$A$3:$A$3000,"&lt;"&amp;DATE(2023,3,31))=0,#N/A,(SUMIFS('DATA INPUT'!$E$3:$E$3000,'DATA INPUT'!$B$3:$B$3000,'Report Tables'!AE$1,'DATA INPUT'!$A$3:$A$3000,"&gt;="&amp;DATE(2023,3,1),'DATA INPUT'!$A$3:$A$3000,"&lt;"&amp;DATE(2023,3,31)))),IF(SUMIFS('DATA INPUT'!$E$3:$E$3000,'DATA INPUT'!$B$3:$B$3000,'Report Tables'!AE$1,'DATA INPUT'!$A$3:$A$3000,"&gt;="&amp;DATE(2023,3,1),'DATA INPUT'!$A$3:$A$3000,"&lt;"&amp;DATE(2023,3,31),'DATA INPUT'!$F$3:$F$3000,"&lt;&gt;*Exclude*")=0,#N/A,(SUMIFS('DATA INPUT'!$E$3:$E$3000,'DATA INPUT'!$B$3:$B$3000,'Report Tables'!AE$1,'DATA INPUT'!$A$3:$A$3000,"&gt;="&amp;DATE(2023,3,1),'DATA INPUT'!$A$3:$A$3000,"&lt;"&amp;DATE(2023,3,31),'DATA INPUT'!$F$3:$F$3000,"&lt;&gt;*Exclude*"))))</f>
        <v>#N/A</v>
      </c>
      <c r="AF77" s="136" t="e">
        <f>IF($L$2="Yes",IF(SUMIFS('DATA INPUT'!$E$3:$E$3000,'DATA INPUT'!$B$3:$B$3000,'Report Tables'!AF$1,'DATA INPUT'!$A$3:$A$3000,"&gt;="&amp;DATE(2023,3,1),'DATA INPUT'!$A$3:$A$3000,"&lt;"&amp;DATE(2023,3,31))=0,#N/A,(SUMIFS('DATA INPUT'!$E$3:$E$3000,'DATA INPUT'!$B$3:$B$3000,'Report Tables'!AF$1,'DATA INPUT'!$A$3:$A$3000,"&gt;="&amp;DATE(2023,3,1),'DATA INPUT'!$A$3:$A$3000,"&lt;"&amp;DATE(2023,3,31)))),IF(SUMIFS('DATA INPUT'!$E$3:$E$3000,'DATA INPUT'!$B$3:$B$3000,'Report Tables'!AF$1,'DATA INPUT'!$A$3:$A$3000,"&gt;="&amp;DATE(2023,3,1),'DATA INPUT'!$A$3:$A$3000,"&lt;"&amp;DATE(2023,3,31),'DATA INPUT'!$F$3:$F$3000,"&lt;&gt;*Exclude*")=0,#N/A,(SUMIFS('DATA INPUT'!$E$3:$E$3000,'DATA INPUT'!$B$3:$B$3000,'Report Tables'!AF$1,'DATA INPUT'!$A$3:$A$3000,"&gt;="&amp;DATE(2023,3,1),'DATA INPUT'!$A$3:$A$3000,"&lt;"&amp;DATE(2023,3,31),'DATA INPUT'!$F$3:$F$3000,"&lt;&gt;*Exclude*"))))</f>
        <v>#N/A</v>
      </c>
      <c r="AG77" s="136" t="e">
        <f>IF($L$2="Yes",IF(SUMIFS('DATA INPUT'!$E$3:$E$3000,'DATA INPUT'!$B$3:$B$3000,'Report Tables'!AG$1,'DATA INPUT'!$A$3:$A$3000,"&gt;="&amp;DATE(2023,3,1),'DATA INPUT'!$A$3:$A$3000,"&lt;"&amp;DATE(2023,3,31))=0,#N/A,(SUMIFS('DATA INPUT'!$E$3:$E$3000,'DATA INPUT'!$B$3:$B$3000,'Report Tables'!AG$1,'DATA INPUT'!$A$3:$A$3000,"&gt;="&amp;DATE(2023,3,1),'DATA INPUT'!$A$3:$A$3000,"&lt;"&amp;DATE(2023,3,31)))),IF(SUMIFS('DATA INPUT'!$E$3:$E$3000,'DATA INPUT'!$B$3:$B$3000,'Report Tables'!AG$1,'DATA INPUT'!$A$3:$A$3000,"&gt;="&amp;DATE(2023,3,1),'DATA INPUT'!$A$3:$A$3000,"&lt;"&amp;DATE(2023,3,31),'DATA INPUT'!$F$3:$F$3000,"&lt;&gt;*Exclude*")=0,#N/A,(SUMIFS('DATA INPUT'!$E$3:$E$3000,'DATA INPUT'!$B$3:$B$3000,'Report Tables'!AG$1,'DATA INPUT'!$A$3:$A$3000,"&gt;="&amp;DATE(2023,3,1),'DATA INPUT'!$A$3:$A$3000,"&lt;"&amp;DATE(2023,3,31),'DATA INPUT'!$F$3:$F$3000,"&lt;&gt;*Exclude*"))))</f>
        <v>#N/A</v>
      </c>
      <c r="AH77" s="136" t="e">
        <f>IF($L$2="Yes",IF(SUMIFS('DATA INPUT'!$E$3:$E$3000,'DATA INPUT'!$B$3:$B$3000,'Report Tables'!AH$1,'DATA INPUT'!$A$3:$A$3000,"&gt;="&amp;DATE(2023,3,1),'DATA INPUT'!$A$3:$A$3000,"&lt;"&amp;DATE(2023,3,31))=0,#N/A,(SUMIFS('DATA INPUT'!$E$3:$E$3000,'DATA INPUT'!$B$3:$B$3000,'Report Tables'!AH$1,'DATA INPUT'!$A$3:$A$3000,"&gt;="&amp;DATE(2023,3,1),'DATA INPUT'!$A$3:$A$3000,"&lt;"&amp;DATE(2023,3,31)))),IF(SUMIFS('DATA INPUT'!$E$3:$E$3000,'DATA INPUT'!$B$3:$B$3000,'Report Tables'!AH$1,'DATA INPUT'!$A$3:$A$3000,"&gt;="&amp;DATE(2023,3,1),'DATA INPUT'!$A$3:$A$3000,"&lt;"&amp;DATE(2023,3,31),'DATA INPUT'!$F$3:$F$3000,"&lt;&gt;*Exclude*")=0,#N/A,(SUMIFS('DATA INPUT'!$E$3:$E$3000,'DATA INPUT'!$B$3:$B$3000,'Report Tables'!AH$1,'DATA INPUT'!$A$3:$A$3000,"&gt;="&amp;DATE(2023,3,1),'DATA INPUT'!$A$3:$A$3000,"&lt;"&amp;DATE(2023,3,31),'DATA INPUT'!$F$3:$F$3000,"&lt;&gt;*Exclude*"))))</f>
        <v>#N/A</v>
      </c>
      <c r="AI77" s="136" t="e">
        <f t="shared" si="23"/>
        <v>#N/A</v>
      </c>
      <c r="AJ77" s="136" t="e">
        <f>IF($L$2="Yes",IF(SUMIFS('DATA INPUT'!$D$3:$D$3000,'DATA INPUT'!$A$3:$A$3000,"&gt;="&amp;DATE(2023,3,1),'DATA INPUT'!$A$3:$A$3000,"&lt;"&amp;DATE(2023,3,31),'DATA INPUT'!$G$3:$G$3000,"&lt;&gt;*School service*")=0,#N/A,(SUMIFS('DATA INPUT'!$D$3:$D$3000,'DATA INPUT'!$A$3:$A$3000,"&gt;="&amp;DATE(2023,3,1),'DATA INPUT'!$A$3:$A$3000,"&lt;"&amp;DATE(2023,3,31),'DATA INPUT'!$G$3:$G$3000,"&lt;&gt;*School service*"))),IF(SUMIFS('DATA INPUT'!$D$3:$D$3000,'DATA INPUT'!$A$3:$A$3000,"&gt;="&amp;DATE(2023,3,1),'DATA INPUT'!$A$3:$A$3000,"&lt;"&amp;DATE(2023,3,31),'DATA INPUT'!$F$3:$F$3000,"&lt;&gt;*Exclude*",'DATA INPUT'!$G$3:$G$3000,"&lt;&gt;*School service*")=0,#N/A,(SUMIFS('DATA INPUT'!$D$3:$D$3000,'DATA INPUT'!$A$3:$A$3000,"&gt;="&amp;DATE(2023,3,1),'DATA INPUT'!$A$3:$A$3000,"&lt;"&amp;DATE(2023,3,31),'DATA INPUT'!$F$3:$F$3000,"&lt;&gt;*Exclude*",'DATA INPUT'!$G$3:$G$3000,"&lt;&gt;*School service*"))))</f>
        <v>#N/A</v>
      </c>
      <c r="AK77" s="136" t="e">
        <f>AI77-AJ77</f>
        <v>#N/A</v>
      </c>
      <c r="AM77" s="117" t="e">
        <f>IF($L$2="Yes",IFERROR((SUMIFS('DATA INPUT'!$E$3:$E$3000,'DATA INPUT'!$B$3:$B$3000,'Report Tables'!AM$1,'DATA INPUT'!$A$3:$A$3000,"&gt;="&amp;DATE(2023,3,1),'DATA INPUT'!$A$3:$A$3000,"&lt;"&amp;DATE(2023,3,31)))/COUNTIFS('DATA INPUT'!$B$3:$B$3000,'Report Tables'!AM$1,'DATA INPUT'!$A$3:$A$3000,"&gt;="&amp;DATE(2023,3,1),'DATA INPUT'!$A$3:$A$3000,"&lt;"&amp;DATE(2023,3,31)),#N/A),IFERROR((SUMIFS('DATA INPUT'!$E$3:$E$3000,'DATA INPUT'!$B$3:$B$3000,'Report Tables'!AM$1,'DATA INPUT'!$A$3:$A$3000,"&gt;="&amp;DATE(2023,3,1),'DATA INPUT'!$A$3:$A$3000,"&lt;"&amp;DATE(2023,3,31),'DATA INPUT'!$F$3:$F$3000,"&lt;&gt;*Exclude*"))/(COUNTIFS('DATA INPUT'!$B$3:$B$3000,'Report Tables'!AM$1,'DATA INPUT'!$A$3:$A$3000,"&gt;="&amp;DATE(2023,3,1),'DATA INPUT'!$A$3:$A$3000,"&lt;"&amp;DATE(2023,3,31),'DATA INPUT'!$F$3:$F$3000,"&lt;&gt;*Exclude*")),#N/A))</f>
        <v>#N/A</v>
      </c>
      <c r="AN77" s="117" t="e">
        <f>IF($L$2="Yes",IFERROR((SUMIFS('DATA INPUT'!$E$3:$E$3000,'DATA INPUT'!$B$3:$B$3000,'Report Tables'!AN$1,'DATA INPUT'!$A$3:$A$3000,"&gt;="&amp;DATE(2023,3,1),'DATA INPUT'!$A$3:$A$3000,"&lt;"&amp;DATE(2023,3,31)))/COUNTIFS('DATA INPUT'!$B$3:$B$3000,'Report Tables'!AN$1,'DATA INPUT'!$A$3:$A$3000,"&gt;="&amp;DATE(2023,3,1),'DATA INPUT'!$A$3:$A$3000,"&lt;"&amp;DATE(2023,3,31)),#N/A),IFERROR((SUMIFS('DATA INPUT'!$E$3:$E$3000,'DATA INPUT'!$B$3:$B$3000,'Report Tables'!AN$1,'DATA INPUT'!$A$3:$A$3000,"&gt;="&amp;DATE(2023,3,1),'DATA INPUT'!$A$3:$A$3000,"&lt;"&amp;DATE(2023,3,31),'DATA INPUT'!$F$3:$F$3000,"&lt;&gt;*Exclude*"))/(COUNTIFS('DATA INPUT'!$B$3:$B$3000,'Report Tables'!AN$1,'DATA INPUT'!$A$3:$A$3000,"&gt;="&amp;DATE(2023,3,1),'DATA INPUT'!$A$3:$A$3000,"&lt;"&amp;DATE(2023,3,31),'DATA INPUT'!$F$3:$F$3000,"&lt;&gt;*Exclude*")),#N/A))</f>
        <v>#N/A</v>
      </c>
      <c r="AO77" s="117" t="e">
        <f>IF($L$2="Yes",IFERROR((SUMIFS('DATA INPUT'!$E$3:$E$3000,'DATA INPUT'!$B$3:$B$3000,'Report Tables'!AO$1,'DATA INPUT'!$A$3:$A$3000,"&gt;="&amp;DATE(2023,3,1),'DATA INPUT'!$A$3:$A$3000,"&lt;"&amp;DATE(2023,3,31)))/COUNTIFS('DATA INPUT'!$B$3:$B$3000,'Report Tables'!AO$1,'DATA INPUT'!$A$3:$A$3000,"&gt;="&amp;DATE(2023,3,1),'DATA INPUT'!$A$3:$A$3000,"&lt;"&amp;DATE(2023,3,31)),#N/A),IFERROR((SUMIFS('DATA INPUT'!$E$3:$E$3000,'DATA INPUT'!$B$3:$B$3000,'Report Tables'!AO$1,'DATA INPUT'!$A$3:$A$3000,"&gt;="&amp;DATE(2023,3,1),'DATA INPUT'!$A$3:$A$3000,"&lt;"&amp;DATE(2023,3,31),'DATA INPUT'!$F$3:$F$3000,"&lt;&gt;*Exclude*"))/(COUNTIFS('DATA INPUT'!$B$3:$B$3000,'Report Tables'!AO$1,'DATA INPUT'!$A$3:$A$3000,"&gt;="&amp;DATE(2023,3,1),'DATA INPUT'!$A$3:$A$3000,"&lt;"&amp;DATE(2023,3,31),'DATA INPUT'!$F$3:$F$3000,"&lt;&gt;*Exclude*")),#N/A))</f>
        <v>#N/A</v>
      </c>
      <c r="AP77" s="117" t="e">
        <f>IF($L$2="Yes",IFERROR((SUMIFS('DATA INPUT'!$E$3:$E$3000,'DATA INPUT'!$B$3:$B$3000,'Report Tables'!AP$1,'DATA INPUT'!$A$3:$A$3000,"&gt;="&amp;DATE(2023,3,1),'DATA INPUT'!$A$3:$A$3000,"&lt;"&amp;DATE(2023,3,31)))/COUNTIFS('DATA INPUT'!$B$3:$B$3000,'Report Tables'!AP$1,'DATA INPUT'!$A$3:$A$3000,"&gt;="&amp;DATE(2023,3,1),'DATA INPUT'!$A$3:$A$3000,"&lt;"&amp;DATE(2023,3,31)),#N/A),IFERROR((SUMIFS('DATA INPUT'!$E$3:$E$3000,'DATA INPUT'!$B$3:$B$3000,'Report Tables'!AP$1,'DATA INPUT'!$A$3:$A$3000,"&gt;="&amp;DATE(2023,3,1),'DATA INPUT'!$A$3:$A$3000,"&lt;"&amp;DATE(2023,3,31),'DATA INPUT'!$F$3:$F$3000,"&lt;&gt;*Exclude*"))/(COUNTIFS('DATA INPUT'!$B$3:$B$3000,'Report Tables'!AP$1,'DATA INPUT'!$A$3:$A$3000,"&gt;="&amp;DATE(2023,3,1),'DATA INPUT'!$A$3:$A$3000,"&lt;"&amp;DATE(2023,3,31),'DATA INPUT'!$F$3:$F$3000,"&lt;&gt;*Exclude*")),#N/A))</f>
        <v>#N/A</v>
      </c>
      <c r="AQ77" s="117" t="e">
        <f>IF($L$2="Yes",IFERROR((SUMIFS('DATA INPUT'!$E$3:$E$3000,'DATA INPUT'!$B$3:$B$3000,'Report Tables'!AQ$1,'DATA INPUT'!$A$3:$A$3000,"&gt;="&amp;DATE(2023,3,1),'DATA INPUT'!$A$3:$A$3000,"&lt;"&amp;DATE(2023,3,31)))/COUNTIFS('DATA INPUT'!$B$3:$B$3000,'Report Tables'!AQ$1,'DATA INPUT'!$A$3:$A$3000,"&gt;="&amp;DATE(2023,3,1),'DATA INPUT'!$A$3:$A$3000,"&lt;"&amp;DATE(2023,3,31)),#N/A),IFERROR((SUMIFS('DATA INPUT'!$E$3:$E$3000,'DATA INPUT'!$B$3:$B$3000,'Report Tables'!AQ$1,'DATA INPUT'!$A$3:$A$3000,"&gt;="&amp;DATE(2023,3,1),'DATA INPUT'!$A$3:$A$3000,"&lt;"&amp;DATE(2023,3,31),'DATA INPUT'!$F$3:$F$3000,"&lt;&gt;*Exclude*"))/(COUNTIFS('DATA INPUT'!$B$3:$B$3000,'Report Tables'!AQ$1,'DATA INPUT'!$A$3:$A$3000,"&gt;="&amp;DATE(2023,3,1),'DATA INPUT'!$A$3:$A$3000,"&lt;"&amp;DATE(2023,3,31),'DATA INPUT'!$F$3:$F$3000,"&lt;&gt;*Exclude*")),#N/A))</f>
        <v>#N/A</v>
      </c>
      <c r="AR77" s="117" t="e">
        <f>IF($L$2="Yes",IFERROR((SUMIFS('DATA INPUT'!$E$3:$E$3000,'DATA INPUT'!$B$3:$B$3000,'Report Tables'!AR$1,'DATA INPUT'!$A$3:$A$3000,"&gt;="&amp;DATE(2023,3,1),'DATA INPUT'!$A$3:$A$3000,"&lt;"&amp;DATE(2023,3,31)))/COUNTIFS('DATA INPUT'!$B$3:$B$3000,'Report Tables'!AR$1,'DATA INPUT'!$A$3:$A$3000,"&gt;="&amp;DATE(2023,3,1),'DATA INPUT'!$A$3:$A$3000,"&lt;"&amp;DATE(2023,3,31)),#N/A),IFERROR((SUMIFS('DATA INPUT'!$E$3:$E$3000,'DATA INPUT'!$B$3:$B$3000,'Report Tables'!AR$1,'DATA INPUT'!$A$3:$A$3000,"&gt;="&amp;DATE(2023,3,1),'DATA INPUT'!$A$3:$A$3000,"&lt;"&amp;DATE(2023,3,31),'DATA INPUT'!$F$3:$F$3000,"&lt;&gt;*Exclude*"))/(COUNTIFS('DATA INPUT'!$B$3:$B$3000,'Report Tables'!AR$1,'DATA INPUT'!$A$3:$A$3000,"&gt;="&amp;DATE(2023,3,1),'DATA INPUT'!$A$3:$A$3000,"&lt;"&amp;DATE(2023,3,31),'DATA INPUT'!$F$3:$F$3000,"&lt;&gt;*Exclude*")),#N/A))</f>
        <v>#N/A</v>
      </c>
      <c r="AS77" s="117" t="e">
        <f>IF($L$2="Yes",IFERROR((SUMIFS('DATA INPUT'!$E$3:$E$3000,'DATA INPUT'!$B$3:$B$3000,'Report Tables'!AS$1,'DATA INPUT'!$A$3:$A$3000,"&gt;="&amp;DATE(2023,3,1),'DATA INPUT'!$A$3:$A$3000,"&lt;"&amp;DATE(2023,3,31)))/COUNTIFS('DATA INPUT'!$B$3:$B$3000,'Report Tables'!AS$1,'DATA INPUT'!$A$3:$A$3000,"&gt;="&amp;DATE(2023,3,1),'DATA INPUT'!$A$3:$A$3000,"&lt;"&amp;DATE(2023,3,31)),#N/A),IFERROR((SUMIFS('DATA INPUT'!$E$3:$E$3000,'DATA INPUT'!$B$3:$B$3000,'Report Tables'!AS$1,'DATA INPUT'!$A$3:$A$3000,"&gt;="&amp;DATE(2023,3,1),'DATA INPUT'!$A$3:$A$3000,"&lt;"&amp;DATE(2023,3,31),'DATA INPUT'!$F$3:$F$3000,"&lt;&gt;*Exclude*"))/(COUNTIFS('DATA INPUT'!$B$3:$B$3000,'Report Tables'!AS$1,'DATA INPUT'!$A$3:$A$3000,"&gt;="&amp;DATE(2023,3,1),'DATA INPUT'!$A$3:$A$3000,"&lt;"&amp;DATE(2023,3,31),'DATA INPUT'!$F$3:$F$3000,"&lt;&gt;*Exclude*")),#N/A))</f>
        <v>#N/A</v>
      </c>
      <c r="AT77" s="117" t="e">
        <f>IF($L$2="Yes",IFERROR((SUMIFS('DATA INPUT'!$E$3:$E$3000,'DATA INPUT'!$B$3:$B$3000,'Report Tables'!AT$1,'DATA INPUT'!$A$3:$A$3000,"&gt;="&amp;DATE(2023,3,1),'DATA INPUT'!$A$3:$A$3000,"&lt;"&amp;DATE(2023,3,31)))/COUNTIFS('DATA INPUT'!$B$3:$B$3000,'Report Tables'!AT$1,'DATA INPUT'!$A$3:$A$3000,"&gt;="&amp;DATE(2023,3,1),'DATA INPUT'!$A$3:$A$3000,"&lt;"&amp;DATE(2023,3,31)),#N/A),IFERROR((SUMIFS('DATA INPUT'!$E$3:$E$3000,'DATA INPUT'!$B$3:$B$3000,'Report Tables'!AT$1,'DATA INPUT'!$A$3:$A$3000,"&gt;="&amp;DATE(2023,3,1),'DATA INPUT'!$A$3:$A$3000,"&lt;"&amp;DATE(2023,3,31),'DATA INPUT'!$F$3:$F$3000,"&lt;&gt;*Exclude*"))/(COUNTIFS('DATA INPUT'!$B$3:$B$3000,'Report Tables'!AT$1,'DATA INPUT'!$A$3:$A$3000,"&gt;="&amp;DATE(2023,3,1),'DATA INPUT'!$A$3:$A$3000,"&lt;"&amp;DATE(2023,3,31),'DATA INPUT'!$F$3:$F$3000,"&lt;&gt;*Exclude*")),#N/A))</f>
        <v>#N/A</v>
      </c>
      <c r="AU77" s="117" t="e">
        <f t="shared" si="24"/>
        <v>#N/A</v>
      </c>
      <c r="AV77" s="117" t="e">
        <f>IF($L$2="Yes",IFERROR((SUMIFS('DATA INPUT'!$D$3:$D$3000,'DATA INPUT'!$A$3:$A$3000,"&gt;="&amp;DATE(2023,3,1),'DATA INPUT'!$A$3:$A$3000,"&lt;"&amp;DATE(2023,3,31),'DATA INPUT'!$G$3:$G$3000,"&lt;&gt;*School service*"))/COUNTIFS('DATA INPUT'!$A$3:$A$3000,"&gt;="&amp;DATE(2023,3,1),'DATA INPUT'!$A$3:$A$3000,"&lt;"&amp;DATE(2023,3,31),'DATA INPUT'!$G$3:$G$3000,"&lt;&gt;*School service*",'DATA INPUT'!$D$3:$D$3000,"&lt;&gt;"&amp;""),#N/A),IFERROR((SUMIFS('DATA INPUT'!$D$3:$D$3000,'DATA INPUT'!$A$3:$A$3000,"&gt;="&amp;DATE(2023,3,1),'DATA INPUT'!$A$3:$A$3000,"&lt;"&amp;DATE(2023,3,31),'DATA INPUT'!$F$3:$F$3000,"&lt;&gt;*Exclude*",'DATA INPUT'!$G$3:$G$3000,"&lt;&gt;*School service*"))/(COUNTIFS('DATA INPUT'!$A$3:$A$3000,"&gt;="&amp;DATE(2023,3,1),'DATA INPUT'!$A$3:$A$3000,"&lt;"&amp;DATE(2023,3,31),'DATA INPUT'!$F$3:$F$3000,"&lt;&gt;*Exclude*",'DATA INPUT'!$G$3:$G$3000,"&lt;&gt;*School service*",'DATA INPUT'!$D$3:$D$3000,"&lt;&gt;"&amp;"")),#N/A))</f>
        <v>#N/A</v>
      </c>
      <c r="AW77" s="117" t="e">
        <f t="shared" si="25"/>
        <v>#N/A</v>
      </c>
      <c r="AX77" s="117" t="e">
        <f>IF($L$2="Yes",IFERROR((SUMIFS('DATA INPUT'!$E$3:$E$3000,'DATA INPUT'!$B$3:$B$3000,'Report Tables'!AX$1,'DATA INPUT'!$A$3:$A$3000,"&gt;="&amp;DATE(2023,3,1),'DATA INPUT'!$A$3:$A$3000,"&lt;"&amp;DATE(2023,3,31)))/COUNTIFS('DATA INPUT'!$B$3:$B$3000,'Report Tables'!AX$1,'DATA INPUT'!$A$3:$A$3000,"&gt;="&amp;DATE(2023,3,1),'DATA INPUT'!$A$3:$A$3000,"&lt;"&amp;DATE(2023,3,31)),#N/A),IFERROR((SUMIFS('DATA INPUT'!$E$3:$E$3000,'DATA INPUT'!$B$3:$B$3000,'Report Tables'!AX$1,'DATA INPUT'!$A$3:$A$3000,"&gt;="&amp;DATE(2023,3,1),'DATA INPUT'!$A$3:$A$3000,"&lt;"&amp;DATE(2023,3,31),'DATA INPUT'!$F$3:$F$3000,"&lt;&gt;*Exclude*"))/(COUNTIFS('DATA INPUT'!$B$3:$B$3000,'Report Tables'!AX$1,'DATA INPUT'!$A$3:$A$3000,"&gt;="&amp;DATE(2023,3,1),'DATA INPUT'!$A$3:$A$3000,"&lt;"&amp;DATE(2023,3,31),'DATA INPUT'!$F$3:$F$3000,"&lt;&gt;*Exclude*")),#N/A))</f>
        <v>#N/A</v>
      </c>
      <c r="AY77" s="117" t="e">
        <f>IF($L$2="Yes",IFERROR((SUMIFS('DATA INPUT'!$D$3:$D$3000,'DATA INPUT'!$B$3:$B$3000,'Report Tables'!AX$1,'DATA INPUT'!$A$3:$A$3000,"&gt;="&amp;DATE(2023,3,1),'DATA INPUT'!$A$3:$A$3000,"&lt;"&amp;DATE(2023,3,31)))/COUNTIFS('DATA INPUT'!$B$3:$B$3000,'Report Tables'!AX$1,'DATA INPUT'!$A$3:$A$3000,"&gt;="&amp;DATE(2023,3,1),'DATA INPUT'!$A$3:$A$3000,"&lt;"&amp;DATE(2023,3,31)),#N/A),IFERROR((SUMIFS('DATA INPUT'!$D$3:$D$3000,'DATA INPUT'!$B$3:$B$3000,'Report Tables'!AX$1,'DATA INPUT'!$A$3:$A$3000,"&gt;="&amp;DATE(2023,3,1),'DATA INPUT'!$A$3:$A$3000,"&lt;"&amp;DATE(2023,3,31),'DATA INPUT'!$F$3:$F$3000,"&lt;&gt;*Exclude*"))/(COUNTIFS('DATA INPUT'!$B$3:$B$3000,'Report Tables'!AX$1,'DATA INPUT'!$A$3:$A$3000,"&gt;="&amp;DATE(2023,3,1),'DATA INPUT'!$A$3:$A$3000,"&lt;"&amp;DATE(2023,3,31),'DATA INPUT'!$F$3:$F$3000,"&lt;&gt;*Exclude*")),#N/A))</f>
        <v>#N/A</v>
      </c>
      <c r="AZ77" s="117" t="e">
        <f>IF($L$2="Yes",IFERROR((SUMIFS('DATA INPUT'!$C$3:$C$3000,'DATA INPUT'!$B$3:$B$3000,'Report Tables'!AX$1,'DATA INPUT'!$A$3:$A$3000,"&gt;="&amp;DATE(2023,3,1),'DATA INPUT'!$A$3:$A$3000,"&lt;"&amp;DATE(2023,3,31)))/COUNTIFS('DATA INPUT'!$B$3:$B$3000,'Report Tables'!AX$1,'DATA INPUT'!$A$3:$A$3000,"&gt;="&amp;DATE(2023,3,1),'DATA INPUT'!$A$3:$A$3000,"&lt;"&amp;DATE(2023,3,31)),#N/A),IFERROR((SUMIFS('DATA INPUT'!$C$3:$C$3000,'DATA INPUT'!$B$3:$B$3000,'Report Tables'!AX$1,'DATA INPUT'!$A$3:$A$3000,"&gt;="&amp;DATE(2023,3,1),'DATA INPUT'!$A$3:$A$3000,"&lt;"&amp;DATE(2023,3,31),'DATA INPUT'!$F$3:$F$3000,"&lt;&gt;*Exclude*"))/(COUNTIFS('DATA INPUT'!$B$3:$B$3000,'Report Tables'!AX$1,'DATA INPUT'!$A$3:$A$3000,"&gt;="&amp;DATE(2023,3,1),'DATA INPUT'!$A$3:$A$3000,"&lt;"&amp;DATE(2023,3,31),'DATA INPUT'!$F$3:$F$3000,"&lt;&gt;*Exclude*")),#N/A))</f>
        <v>#N/A</v>
      </c>
    </row>
    <row r="78" spans="25:52" x14ac:dyDescent="0.3">
      <c r="Y78" s="149"/>
      <c r="Z78" s="149" t="s">
        <v>15</v>
      </c>
      <c r="AA78" s="136" t="e">
        <f>IF($L$2="Yes",IF(SUMIFS('DATA INPUT'!$E$3:$E$3000,'DATA INPUT'!$B$3:$B$3000,'Report Tables'!AA$1,'DATA INPUT'!$A$3:$A$3000,"&gt;="&amp;DATE(2023,4,1),'DATA INPUT'!$A$3:$A$3000,"&lt;"&amp;DATE(2023,4,31))=0,#N/A,(SUMIFS('DATA INPUT'!$E$3:$E$3000,'DATA INPUT'!$B$3:$B$3000,'Report Tables'!AA$1,'DATA INPUT'!$A$3:$A$3000,"&gt;="&amp;DATE(2023,4,1),'DATA INPUT'!$A$3:$A$3000,"&lt;"&amp;DATE(2023,4,31)))),IF(SUMIFS('DATA INPUT'!$E$3:$E$3000,'DATA INPUT'!$B$3:$B$3000,'Report Tables'!AA$1,'DATA INPUT'!$A$3:$A$3000,"&gt;="&amp;DATE(2023,4,1),'DATA INPUT'!$A$3:$A$3000,"&lt;"&amp;DATE(2023,4,31),'DATA INPUT'!$F$3:$F$3000,"&lt;&gt;*Exclude*")=0,#N/A,(SUMIFS('DATA INPUT'!$E$3:$E$3000,'DATA INPUT'!$B$3:$B$3000,'Report Tables'!AA$1,'DATA INPUT'!$A$3:$A$3000,"&gt;="&amp;DATE(2023,4,1),'DATA INPUT'!$A$3:$A$3000,"&lt;"&amp;DATE(2023,4,31),'DATA INPUT'!$F$3:$F$3000,"&lt;&gt;*Exclude*"))))</f>
        <v>#N/A</v>
      </c>
      <c r="AB78" s="136" t="e">
        <f>IF($L$2="Yes",IF(SUMIFS('DATA INPUT'!$E$3:$E$3000,'DATA INPUT'!$B$3:$B$3000,'Report Tables'!AB$1,'DATA INPUT'!$A$3:$A$3000,"&gt;="&amp;DATE(2023,4,1),'DATA INPUT'!$A$3:$A$3000,"&lt;"&amp;DATE(2023,4,31))=0,#N/A,(SUMIFS('DATA INPUT'!$E$3:$E$3000,'DATA INPUT'!$B$3:$B$3000,'Report Tables'!AB$1,'DATA INPUT'!$A$3:$A$3000,"&gt;="&amp;DATE(2023,4,1),'DATA INPUT'!$A$3:$A$3000,"&lt;"&amp;DATE(2023,4,31)))),IF(SUMIFS('DATA INPUT'!$E$3:$E$3000,'DATA INPUT'!$B$3:$B$3000,'Report Tables'!AB$1,'DATA INPUT'!$A$3:$A$3000,"&gt;="&amp;DATE(2023,4,1),'DATA INPUT'!$A$3:$A$3000,"&lt;"&amp;DATE(2023,4,31),'DATA INPUT'!$F$3:$F$3000,"&lt;&gt;*Exclude*")=0,#N/A,(SUMIFS('DATA INPUT'!$E$3:$E$3000,'DATA INPUT'!$B$3:$B$3000,'Report Tables'!AB$1,'DATA INPUT'!$A$3:$A$3000,"&gt;="&amp;DATE(2023,4,1),'DATA INPUT'!$A$3:$A$3000,"&lt;"&amp;DATE(2023,4,31),'DATA INPUT'!$F$3:$F$3000,"&lt;&gt;*Exclude*"))))</f>
        <v>#N/A</v>
      </c>
      <c r="AC78" s="136" t="e">
        <f>IF($L$2="Yes",IF(SUMIFS('DATA INPUT'!$E$3:$E$3000,'DATA INPUT'!$B$3:$B$3000,'Report Tables'!AC$1,'DATA INPUT'!$A$3:$A$3000,"&gt;="&amp;DATE(2023,4,1),'DATA INPUT'!$A$3:$A$3000,"&lt;"&amp;DATE(2023,4,31))=0,#N/A,(SUMIFS('DATA INPUT'!$E$3:$E$3000,'DATA INPUT'!$B$3:$B$3000,'Report Tables'!AC$1,'DATA INPUT'!$A$3:$A$3000,"&gt;="&amp;DATE(2023,4,1),'DATA INPUT'!$A$3:$A$3000,"&lt;"&amp;DATE(2023,4,31)))),IF(SUMIFS('DATA INPUT'!$E$3:$E$3000,'DATA INPUT'!$B$3:$B$3000,'Report Tables'!AC$1,'DATA INPUT'!$A$3:$A$3000,"&gt;="&amp;DATE(2023,4,1),'DATA INPUT'!$A$3:$A$3000,"&lt;"&amp;DATE(2023,4,31),'DATA INPUT'!$F$3:$F$3000,"&lt;&gt;*Exclude*")=0,#N/A,(SUMIFS('DATA INPUT'!$E$3:$E$3000,'DATA INPUT'!$B$3:$B$3000,'Report Tables'!AC$1,'DATA INPUT'!$A$3:$A$3000,"&gt;="&amp;DATE(2023,4,1),'DATA INPUT'!$A$3:$A$3000,"&lt;"&amp;DATE(2023,4,31),'DATA INPUT'!$F$3:$F$3000,"&lt;&gt;*Exclude*"))))</f>
        <v>#N/A</v>
      </c>
      <c r="AD78" s="136" t="e">
        <f>IF($L$2="Yes",IF(SUMIFS('DATA INPUT'!$E$3:$E$3000,'DATA INPUT'!$B$3:$B$3000,'Report Tables'!AD$1,'DATA INPUT'!$A$3:$A$3000,"&gt;="&amp;DATE(2023,4,1),'DATA INPUT'!$A$3:$A$3000,"&lt;"&amp;DATE(2023,4,31))=0,#N/A,(SUMIFS('DATA INPUT'!$E$3:$E$3000,'DATA INPUT'!$B$3:$B$3000,'Report Tables'!AD$1,'DATA INPUT'!$A$3:$A$3000,"&gt;="&amp;DATE(2023,4,1),'DATA INPUT'!$A$3:$A$3000,"&lt;"&amp;DATE(2023,4,31)))),IF(SUMIFS('DATA INPUT'!$E$3:$E$3000,'DATA INPUT'!$B$3:$B$3000,'Report Tables'!AD$1,'DATA INPUT'!$A$3:$A$3000,"&gt;="&amp;DATE(2023,4,1),'DATA INPUT'!$A$3:$A$3000,"&lt;"&amp;DATE(2023,4,31),'DATA INPUT'!$F$3:$F$3000,"&lt;&gt;*Exclude*")=0,#N/A,(SUMIFS('DATA INPUT'!$E$3:$E$3000,'DATA INPUT'!$B$3:$B$3000,'Report Tables'!AD$1,'DATA INPUT'!$A$3:$A$3000,"&gt;="&amp;DATE(2023,4,1),'DATA INPUT'!$A$3:$A$3000,"&lt;"&amp;DATE(2023,4,31),'DATA INPUT'!$F$3:$F$3000,"&lt;&gt;*Exclude*"))))</f>
        <v>#N/A</v>
      </c>
      <c r="AE78" s="136" t="e">
        <f>IF($L$2="Yes",IF(SUMIFS('DATA INPUT'!$E$3:$E$3000,'DATA INPUT'!$B$3:$B$3000,'Report Tables'!AE$1,'DATA INPUT'!$A$3:$A$3000,"&gt;="&amp;DATE(2023,4,1),'DATA INPUT'!$A$3:$A$3000,"&lt;"&amp;DATE(2023,4,31))=0,#N/A,(SUMIFS('DATA INPUT'!$E$3:$E$3000,'DATA INPUT'!$B$3:$B$3000,'Report Tables'!AE$1,'DATA INPUT'!$A$3:$A$3000,"&gt;="&amp;DATE(2023,4,1),'DATA INPUT'!$A$3:$A$3000,"&lt;"&amp;DATE(2023,4,31)))),IF(SUMIFS('DATA INPUT'!$E$3:$E$3000,'DATA INPUT'!$B$3:$B$3000,'Report Tables'!AE$1,'DATA INPUT'!$A$3:$A$3000,"&gt;="&amp;DATE(2023,4,1),'DATA INPUT'!$A$3:$A$3000,"&lt;"&amp;DATE(2023,4,31),'DATA INPUT'!$F$3:$F$3000,"&lt;&gt;*Exclude*")=0,#N/A,(SUMIFS('DATA INPUT'!$E$3:$E$3000,'DATA INPUT'!$B$3:$B$3000,'Report Tables'!AE$1,'DATA INPUT'!$A$3:$A$3000,"&gt;="&amp;DATE(2023,4,1),'DATA INPUT'!$A$3:$A$3000,"&lt;"&amp;DATE(2023,4,31),'DATA INPUT'!$F$3:$F$3000,"&lt;&gt;*Exclude*"))))</f>
        <v>#N/A</v>
      </c>
      <c r="AF78" s="136" t="e">
        <f>IF($L$2="Yes",IF(SUMIFS('DATA INPUT'!$E$3:$E$3000,'DATA INPUT'!$B$3:$B$3000,'Report Tables'!AF$1,'DATA INPUT'!$A$3:$A$3000,"&gt;="&amp;DATE(2023,4,1),'DATA INPUT'!$A$3:$A$3000,"&lt;"&amp;DATE(2023,4,31))=0,#N/A,(SUMIFS('DATA INPUT'!$E$3:$E$3000,'DATA INPUT'!$B$3:$B$3000,'Report Tables'!AF$1,'DATA INPUT'!$A$3:$A$3000,"&gt;="&amp;DATE(2023,4,1),'DATA INPUT'!$A$3:$A$3000,"&lt;"&amp;DATE(2023,4,31)))),IF(SUMIFS('DATA INPUT'!$E$3:$E$3000,'DATA INPUT'!$B$3:$B$3000,'Report Tables'!AF$1,'DATA INPUT'!$A$3:$A$3000,"&gt;="&amp;DATE(2023,4,1),'DATA INPUT'!$A$3:$A$3000,"&lt;"&amp;DATE(2023,4,31),'DATA INPUT'!$F$3:$F$3000,"&lt;&gt;*Exclude*")=0,#N/A,(SUMIFS('DATA INPUT'!$E$3:$E$3000,'DATA INPUT'!$B$3:$B$3000,'Report Tables'!AF$1,'DATA INPUT'!$A$3:$A$3000,"&gt;="&amp;DATE(2023,4,1),'DATA INPUT'!$A$3:$A$3000,"&lt;"&amp;DATE(2023,4,31),'DATA INPUT'!$F$3:$F$3000,"&lt;&gt;*Exclude*"))))</f>
        <v>#N/A</v>
      </c>
      <c r="AG78" s="136" t="e">
        <f>IF($L$2="Yes",IF(SUMIFS('DATA INPUT'!$E$3:$E$3000,'DATA INPUT'!$B$3:$B$3000,'Report Tables'!AG$1,'DATA INPUT'!$A$3:$A$3000,"&gt;="&amp;DATE(2023,4,1),'DATA INPUT'!$A$3:$A$3000,"&lt;"&amp;DATE(2023,4,31))=0,#N/A,(SUMIFS('DATA INPUT'!$E$3:$E$3000,'DATA INPUT'!$B$3:$B$3000,'Report Tables'!AG$1,'DATA INPUT'!$A$3:$A$3000,"&gt;="&amp;DATE(2023,4,1),'DATA INPUT'!$A$3:$A$3000,"&lt;"&amp;DATE(2023,4,31)))),IF(SUMIFS('DATA INPUT'!$E$3:$E$3000,'DATA INPUT'!$B$3:$B$3000,'Report Tables'!AG$1,'DATA INPUT'!$A$3:$A$3000,"&gt;="&amp;DATE(2023,4,1),'DATA INPUT'!$A$3:$A$3000,"&lt;"&amp;DATE(2023,4,31),'DATA INPUT'!$F$3:$F$3000,"&lt;&gt;*Exclude*")=0,#N/A,(SUMIFS('DATA INPUT'!$E$3:$E$3000,'DATA INPUT'!$B$3:$B$3000,'Report Tables'!AG$1,'DATA INPUT'!$A$3:$A$3000,"&gt;="&amp;DATE(2023,4,1),'DATA INPUT'!$A$3:$A$3000,"&lt;"&amp;DATE(2023,4,31),'DATA INPUT'!$F$3:$F$3000,"&lt;&gt;*Exclude*"))))</f>
        <v>#N/A</v>
      </c>
      <c r="AH78" s="136" t="e">
        <f>IF($L$2="Yes",IF(SUMIFS('DATA INPUT'!$E$3:$E$3000,'DATA INPUT'!$B$3:$B$3000,'Report Tables'!AH$1,'DATA INPUT'!$A$3:$A$3000,"&gt;="&amp;DATE(2023,4,1),'DATA INPUT'!$A$3:$A$3000,"&lt;"&amp;DATE(2023,4,31))=0,#N/A,(SUMIFS('DATA INPUT'!$E$3:$E$3000,'DATA INPUT'!$B$3:$B$3000,'Report Tables'!AH$1,'DATA INPUT'!$A$3:$A$3000,"&gt;="&amp;DATE(2023,4,1),'DATA INPUT'!$A$3:$A$3000,"&lt;"&amp;DATE(2023,4,31)))),IF(SUMIFS('DATA INPUT'!$E$3:$E$3000,'DATA INPUT'!$B$3:$B$3000,'Report Tables'!AH$1,'DATA INPUT'!$A$3:$A$3000,"&gt;="&amp;DATE(2023,4,1),'DATA INPUT'!$A$3:$A$3000,"&lt;"&amp;DATE(2023,4,31),'DATA INPUT'!$F$3:$F$3000,"&lt;&gt;*Exclude*")=0,#N/A,(SUMIFS('DATA INPUT'!$E$3:$E$3000,'DATA INPUT'!$B$3:$B$3000,'Report Tables'!AH$1,'DATA INPUT'!$A$3:$A$3000,"&gt;="&amp;DATE(2023,4,1),'DATA INPUT'!$A$3:$A$3000,"&lt;"&amp;DATE(2023,4,31),'DATA INPUT'!$F$3:$F$3000,"&lt;&gt;*Exclude*"))))</f>
        <v>#N/A</v>
      </c>
      <c r="AI78" s="136" t="e">
        <f t="shared" si="23"/>
        <v>#N/A</v>
      </c>
      <c r="AJ78" s="136" t="e">
        <f>IF($L$2="Yes",IF(SUMIFS('DATA INPUT'!$D$3:$D$3000,'DATA INPUT'!$A$3:$A$3000,"&gt;="&amp;DATE(2023,4,1),'DATA INPUT'!$A$3:$A$3000,"&lt;"&amp;DATE(2023,4,31),'DATA INPUT'!$G$3:$G$3000,"&lt;&gt;*School service*")=0,#N/A,(SUMIFS('DATA INPUT'!$D$3:$D$3000,'DATA INPUT'!$A$3:$A$3000,"&gt;="&amp;DATE(2023,4,1),'DATA INPUT'!$A$3:$A$3000,"&lt;"&amp;DATE(2023,4,31),'DATA INPUT'!$G$3:$G$3000,"&lt;&gt;*School service*"))),IF(SUMIFS('DATA INPUT'!$D$3:$D$3000,'DATA INPUT'!$A$3:$A$3000,"&gt;="&amp;DATE(2023,4,1),'DATA INPUT'!$A$3:$A$3000,"&lt;"&amp;DATE(2023,4,31),'DATA INPUT'!$F$3:$F$3000,"&lt;&gt;*Exclude*",'DATA INPUT'!$G$3:$G$3000,"&lt;&gt;*School service*")=0,#N/A,(SUMIFS('DATA INPUT'!$D$3:$D$3000,'DATA INPUT'!$A$3:$A$3000,"&gt;="&amp;DATE(2023,4,1),'DATA INPUT'!$A$3:$A$3000,"&lt;"&amp;DATE(2023,4,31),'DATA INPUT'!$F$3:$F$3000,"&lt;&gt;*Exclude*",'DATA INPUT'!$G$3:$G$3000,"&lt;&gt;*School service*"))))</f>
        <v>#N/A</v>
      </c>
      <c r="AK78" s="136" t="e">
        <f>AI78-AJ78</f>
        <v>#N/A</v>
      </c>
      <c r="AM78" s="117" t="e">
        <f>IF($L$2="Yes",IFERROR((SUMIFS('DATA INPUT'!$E$3:$E$3000,'DATA INPUT'!$B$3:$B$3000,'Report Tables'!AM$1,'DATA INPUT'!$A$3:$A$3000,"&gt;="&amp;DATE(2023,4,1),'DATA INPUT'!$A$3:$A$3000,"&lt;"&amp;DATE(2023,4,31)))/COUNTIFS('DATA INPUT'!$B$3:$B$3000,'Report Tables'!AM$1,'DATA INPUT'!$A$3:$A$3000,"&gt;="&amp;DATE(2023,4,1),'DATA INPUT'!$A$3:$A$3000,"&lt;"&amp;DATE(2023,4,31)),#N/A),IFERROR((SUMIFS('DATA INPUT'!$E$3:$E$3000,'DATA INPUT'!$B$3:$B$3000,'Report Tables'!AM$1,'DATA INPUT'!$A$3:$A$3000,"&gt;="&amp;DATE(2023,4,1),'DATA INPUT'!$A$3:$A$3000,"&lt;"&amp;DATE(2023,4,31),'DATA INPUT'!$F$3:$F$3000,"&lt;&gt;*Exclude*"))/(COUNTIFS('DATA INPUT'!$B$3:$B$3000,'Report Tables'!AM$1,'DATA INPUT'!$A$3:$A$3000,"&gt;="&amp;DATE(2023,4,1),'DATA INPUT'!$A$3:$A$3000,"&lt;"&amp;DATE(2023,4,31),'DATA INPUT'!$F$3:$F$3000,"&lt;&gt;*Exclude*")),#N/A))</f>
        <v>#N/A</v>
      </c>
      <c r="AN78" s="117" t="e">
        <f>IF($L$2="Yes",IFERROR((SUMIFS('DATA INPUT'!$E$3:$E$3000,'DATA INPUT'!$B$3:$B$3000,'Report Tables'!AN$1,'DATA INPUT'!$A$3:$A$3000,"&gt;="&amp;DATE(2023,4,1),'DATA INPUT'!$A$3:$A$3000,"&lt;"&amp;DATE(2023,4,31)))/COUNTIFS('DATA INPUT'!$B$3:$B$3000,'Report Tables'!AN$1,'DATA INPUT'!$A$3:$A$3000,"&gt;="&amp;DATE(2023,4,1),'DATA INPUT'!$A$3:$A$3000,"&lt;"&amp;DATE(2023,4,31)),#N/A),IFERROR((SUMIFS('DATA INPUT'!$E$3:$E$3000,'DATA INPUT'!$B$3:$B$3000,'Report Tables'!AN$1,'DATA INPUT'!$A$3:$A$3000,"&gt;="&amp;DATE(2023,4,1),'DATA INPUT'!$A$3:$A$3000,"&lt;"&amp;DATE(2023,4,31),'DATA INPUT'!$F$3:$F$3000,"&lt;&gt;*Exclude*"))/(COUNTIFS('DATA INPUT'!$B$3:$B$3000,'Report Tables'!AN$1,'DATA INPUT'!$A$3:$A$3000,"&gt;="&amp;DATE(2023,4,1),'DATA INPUT'!$A$3:$A$3000,"&lt;"&amp;DATE(2023,4,31),'DATA INPUT'!$F$3:$F$3000,"&lt;&gt;*Exclude*")),#N/A))</f>
        <v>#N/A</v>
      </c>
      <c r="AO78" s="117" t="e">
        <f>IF($L$2="Yes",IFERROR((SUMIFS('DATA INPUT'!$E$3:$E$3000,'DATA INPUT'!$B$3:$B$3000,'Report Tables'!AO$1,'DATA INPUT'!$A$3:$A$3000,"&gt;="&amp;DATE(2023,4,1),'DATA INPUT'!$A$3:$A$3000,"&lt;"&amp;DATE(2023,4,31)))/COUNTIFS('DATA INPUT'!$B$3:$B$3000,'Report Tables'!AO$1,'DATA INPUT'!$A$3:$A$3000,"&gt;="&amp;DATE(2023,4,1),'DATA INPUT'!$A$3:$A$3000,"&lt;"&amp;DATE(2023,4,31)),#N/A),IFERROR((SUMIFS('DATA INPUT'!$E$3:$E$3000,'DATA INPUT'!$B$3:$B$3000,'Report Tables'!AO$1,'DATA INPUT'!$A$3:$A$3000,"&gt;="&amp;DATE(2023,4,1),'DATA INPUT'!$A$3:$A$3000,"&lt;"&amp;DATE(2023,4,31),'DATA INPUT'!$F$3:$F$3000,"&lt;&gt;*Exclude*"))/(COUNTIFS('DATA INPUT'!$B$3:$B$3000,'Report Tables'!AO$1,'DATA INPUT'!$A$3:$A$3000,"&gt;="&amp;DATE(2023,4,1),'DATA INPUT'!$A$3:$A$3000,"&lt;"&amp;DATE(2023,4,31),'DATA INPUT'!$F$3:$F$3000,"&lt;&gt;*Exclude*")),#N/A))</f>
        <v>#N/A</v>
      </c>
      <c r="AP78" s="117" t="e">
        <f>IF($L$2="Yes",IFERROR((SUMIFS('DATA INPUT'!$E$3:$E$3000,'DATA INPUT'!$B$3:$B$3000,'Report Tables'!AP$1,'DATA INPUT'!$A$3:$A$3000,"&gt;="&amp;DATE(2023,4,1),'DATA INPUT'!$A$3:$A$3000,"&lt;"&amp;DATE(2023,4,31)))/COUNTIFS('DATA INPUT'!$B$3:$B$3000,'Report Tables'!AP$1,'DATA INPUT'!$A$3:$A$3000,"&gt;="&amp;DATE(2023,4,1),'DATA INPUT'!$A$3:$A$3000,"&lt;"&amp;DATE(2023,4,31)),#N/A),IFERROR((SUMIFS('DATA INPUT'!$E$3:$E$3000,'DATA INPUT'!$B$3:$B$3000,'Report Tables'!AP$1,'DATA INPUT'!$A$3:$A$3000,"&gt;="&amp;DATE(2023,4,1),'DATA INPUT'!$A$3:$A$3000,"&lt;"&amp;DATE(2023,4,31),'DATA INPUT'!$F$3:$F$3000,"&lt;&gt;*Exclude*"))/(COUNTIFS('DATA INPUT'!$B$3:$B$3000,'Report Tables'!AP$1,'DATA INPUT'!$A$3:$A$3000,"&gt;="&amp;DATE(2023,4,1),'DATA INPUT'!$A$3:$A$3000,"&lt;"&amp;DATE(2023,4,31),'DATA INPUT'!$F$3:$F$3000,"&lt;&gt;*Exclude*")),#N/A))</f>
        <v>#N/A</v>
      </c>
      <c r="AQ78" s="117" t="e">
        <f>IF($L$2="Yes",IFERROR((SUMIFS('DATA INPUT'!$E$3:$E$3000,'DATA INPUT'!$B$3:$B$3000,'Report Tables'!AQ$1,'DATA INPUT'!$A$3:$A$3000,"&gt;="&amp;DATE(2023,4,1),'DATA INPUT'!$A$3:$A$3000,"&lt;"&amp;DATE(2023,4,31)))/COUNTIFS('DATA INPUT'!$B$3:$B$3000,'Report Tables'!AQ$1,'DATA INPUT'!$A$3:$A$3000,"&gt;="&amp;DATE(2023,4,1),'DATA INPUT'!$A$3:$A$3000,"&lt;"&amp;DATE(2023,4,31)),#N/A),IFERROR((SUMIFS('DATA INPUT'!$E$3:$E$3000,'DATA INPUT'!$B$3:$B$3000,'Report Tables'!AQ$1,'DATA INPUT'!$A$3:$A$3000,"&gt;="&amp;DATE(2023,4,1),'DATA INPUT'!$A$3:$A$3000,"&lt;"&amp;DATE(2023,4,31),'DATA INPUT'!$F$3:$F$3000,"&lt;&gt;*Exclude*"))/(COUNTIFS('DATA INPUT'!$B$3:$B$3000,'Report Tables'!AQ$1,'DATA INPUT'!$A$3:$A$3000,"&gt;="&amp;DATE(2023,4,1),'DATA INPUT'!$A$3:$A$3000,"&lt;"&amp;DATE(2023,4,31),'DATA INPUT'!$F$3:$F$3000,"&lt;&gt;*Exclude*")),#N/A))</f>
        <v>#N/A</v>
      </c>
      <c r="AR78" s="117" t="e">
        <f>IF($L$2="Yes",IFERROR((SUMIFS('DATA INPUT'!$E$3:$E$3000,'DATA INPUT'!$B$3:$B$3000,'Report Tables'!AR$1,'DATA INPUT'!$A$3:$A$3000,"&gt;="&amp;DATE(2023,4,1),'DATA INPUT'!$A$3:$A$3000,"&lt;"&amp;DATE(2023,4,31)))/COUNTIFS('DATA INPUT'!$B$3:$B$3000,'Report Tables'!AR$1,'DATA INPUT'!$A$3:$A$3000,"&gt;="&amp;DATE(2023,4,1),'DATA INPUT'!$A$3:$A$3000,"&lt;"&amp;DATE(2023,4,31)),#N/A),IFERROR((SUMIFS('DATA INPUT'!$E$3:$E$3000,'DATA INPUT'!$B$3:$B$3000,'Report Tables'!AR$1,'DATA INPUT'!$A$3:$A$3000,"&gt;="&amp;DATE(2023,4,1),'DATA INPUT'!$A$3:$A$3000,"&lt;"&amp;DATE(2023,4,31),'DATA INPUT'!$F$3:$F$3000,"&lt;&gt;*Exclude*"))/(COUNTIFS('DATA INPUT'!$B$3:$B$3000,'Report Tables'!AR$1,'DATA INPUT'!$A$3:$A$3000,"&gt;="&amp;DATE(2023,4,1),'DATA INPUT'!$A$3:$A$3000,"&lt;"&amp;DATE(2023,4,31),'DATA INPUT'!$F$3:$F$3000,"&lt;&gt;*Exclude*")),#N/A))</f>
        <v>#N/A</v>
      </c>
      <c r="AS78" s="117" t="e">
        <f>IF($L$2="Yes",IFERROR((SUMIFS('DATA INPUT'!$E$3:$E$3000,'DATA INPUT'!$B$3:$B$3000,'Report Tables'!AS$1,'DATA INPUT'!$A$3:$A$3000,"&gt;="&amp;DATE(2023,4,1),'DATA INPUT'!$A$3:$A$3000,"&lt;"&amp;DATE(2023,4,31)))/COUNTIFS('DATA INPUT'!$B$3:$B$3000,'Report Tables'!AS$1,'DATA INPUT'!$A$3:$A$3000,"&gt;="&amp;DATE(2023,4,1),'DATA INPUT'!$A$3:$A$3000,"&lt;"&amp;DATE(2023,4,31)),#N/A),IFERROR((SUMIFS('DATA INPUT'!$E$3:$E$3000,'DATA INPUT'!$B$3:$B$3000,'Report Tables'!AS$1,'DATA INPUT'!$A$3:$A$3000,"&gt;="&amp;DATE(2023,4,1),'DATA INPUT'!$A$3:$A$3000,"&lt;"&amp;DATE(2023,4,31),'DATA INPUT'!$F$3:$F$3000,"&lt;&gt;*Exclude*"))/(COUNTIFS('DATA INPUT'!$B$3:$B$3000,'Report Tables'!AS$1,'DATA INPUT'!$A$3:$A$3000,"&gt;="&amp;DATE(2023,4,1),'DATA INPUT'!$A$3:$A$3000,"&lt;"&amp;DATE(2023,4,31),'DATA INPUT'!$F$3:$F$3000,"&lt;&gt;*Exclude*")),#N/A))</f>
        <v>#N/A</v>
      </c>
      <c r="AT78" s="117" t="e">
        <f>IF($L$2="Yes",IFERROR((SUMIFS('DATA INPUT'!$E$3:$E$3000,'DATA INPUT'!$B$3:$B$3000,'Report Tables'!AT$1,'DATA INPUT'!$A$3:$A$3000,"&gt;="&amp;DATE(2023,4,1),'DATA INPUT'!$A$3:$A$3000,"&lt;"&amp;DATE(2023,4,31)))/COUNTIFS('DATA INPUT'!$B$3:$B$3000,'Report Tables'!AT$1,'DATA INPUT'!$A$3:$A$3000,"&gt;="&amp;DATE(2023,4,1),'DATA INPUT'!$A$3:$A$3000,"&lt;"&amp;DATE(2023,4,31)),#N/A),IFERROR((SUMIFS('DATA INPUT'!$E$3:$E$3000,'DATA INPUT'!$B$3:$B$3000,'Report Tables'!AT$1,'DATA INPUT'!$A$3:$A$3000,"&gt;="&amp;DATE(2023,4,1),'DATA INPUT'!$A$3:$A$3000,"&lt;"&amp;DATE(2023,4,31),'DATA INPUT'!$F$3:$F$3000,"&lt;&gt;*Exclude*"))/(COUNTIFS('DATA INPUT'!$B$3:$B$3000,'Report Tables'!AT$1,'DATA INPUT'!$A$3:$A$3000,"&gt;="&amp;DATE(2023,4,1),'DATA INPUT'!$A$3:$A$3000,"&lt;"&amp;DATE(2023,4,31),'DATA INPUT'!$F$3:$F$3000,"&lt;&gt;*Exclude*")),#N/A))</f>
        <v>#N/A</v>
      </c>
      <c r="AU78" s="117" t="e">
        <f t="shared" si="24"/>
        <v>#N/A</v>
      </c>
      <c r="AV78" s="117" t="e">
        <f>IF($L$2="Yes",IFERROR((SUMIFS('DATA INPUT'!$D$3:$D$3000,'DATA INPUT'!$A$3:$A$3000,"&gt;="&amp;DATE(2023,4,1),'DATA INPUT'!$A$3:$A$3000,"&lt;"&amp;DATE(2023,4,31),'DATA INPUT'!$G$3:$G$3000,"&lt;&gt;*School service*"))/COUNTIFS('DATA INPUT'!$A$3:$A$3000,"&gt;="&amp;DATE(2023,4,1),'DATA INPUT'!$A$3:$A$3000,"&lt;"&amp;DATE(2023,4,31),'DATA INPUT'!$G$3:$G$3000,"&lt;&gt;*School service*",'DATA INPUT'!$D$3:$D$3000,"&lt;&gt;"&amp;""),#N/A),IFERROR((SUMIFS('DATA INPUT'!$D$3:$D$3000,'DATA INPUT'!$A$3:$A$3000,"&gt;="&amp;DATE(2023,4,1),'DATA INPUT'!$A$3:$A$3000,"&lt;"&amp;DATE(2023,4,31),'DATA INPUT'!$F$3:$F$3000,"&lt;&gt;*Exclude*",'DATA INPUT'!$G$3:$G$3000,"&lt;&gt;*School service*"))/(COUNTIFS('DATA INPUT'!$A$3:$A$3000,"&gt;="&amp;DATE(2023,4,1),'DATA INPUT'!$A$3:$A$3000,"&lt;"&amp;DATE(2023,4,31),'DATA INPUT'!$F$3:$F$3000,"&lt;&gt;*Exclude*",'DATA INPUT'!$G$3:$G$3000,"&lt;&gt;*School service*",'DATA INPUT'!$D$3:$D$3000,"&lt;&gt;"&amp;"")),#N/A))</f>
        <v>#N/A</v>
      </c>
      <c r="AW78" s="117" t="e">
        <f t="shared" si="25"/>
        <v>#N/A</v>
      </c>
      <c r="AX78" s="117" t="e">
        <f>IF($L$2="Yes",IFERROR((SUMIFS('DATA INPUT'!$E$3:$E$3000,'DATA INPUT'!$B$3:$B$3000,'Report Tables'!AX$1,'DATA INPUT'!$A$3:$A$3000,"&gt;="&amp;DATE(2023,4,1),'DATA INPUT'!$A$3:$A$3000,"&lt;"&amp;DATE(2023,4,31)))/COUNTIFS('DATA INPUT'!$B$3:$B$3000,'Report Tables'!AX$1,'DATA INPUT'!$A$3:$A$3000,"&gt;="&amp;DATE(2023,4,1),'DATA INPUT'!$A$3:$A$3000,"&lt;"&amp;DATE(2023,4,31)),#N/A),IFERROR((SUMIFS('DATA INPUT'!$E$3:$E$3000,'DATA INPUT'!$B$3:$B$3000,'Report Tables'!AX$1,'DATA INPUT'!$A$3:$A$3000,"&gt;="&amp;DATE(2023,4,1),'DATA INPUT'!$A$3:$A$3000,"&lt;"&amp;DATE(2023,4,31),'DATA INPUT'!$F$3:$F$3000,"&lt;&gt;*Exclude*"))/(COUNTIFS('DATA INPUT'!$B$3:$B$3000,'Report Tables'!AX$1,'DATA INPUT'!$A$3:$A$3000,"&gt;="&amp;DATE(2023,4,1),'DATA INPUT'!$A$3:$A$3000,"&lt;"&amp;DATE(2023,4,31),'DATA INPUT'!$F$3:$F$3000,"&lt;&gt;*Exclude*")),#N/A))</f>
        <v>#N/A</v>
      </c>
      <c r="AY78" s="117" t="e">
        <f>IF($L$2="Yes",IFERROR((SUMIFS('DATA INPUT'!$D$3:$D$3000,'DATA INPUT'!$B$3:$B$3000,'Report Tables'!AX$1,'DATA INPUT'!$A$3:$A$3000,"&gt;="&amp;DATE(2023,4,1),'DATA INPUT'!$A$3:$A$3000,"&lt;"&amp;DATE(2023,4,31)))/COUNTIFS('DATA INPUT'!$B$3:$B$3000,'Report Tables'!AX$1,'DATA INPUT'!$A$3:$A$3000,"&gt;="&amp;DATE(2023,4,1),'DATA INPUT'!$A$3:$A$3000,"&lt;"&amp;DATE(2023,4,31)),#N/A),IFERROR((SUMIFS('DATA INPUT'!$D$3:$D$3000,'DATA INPUT'!$B$3:$B$3000,'Report Tables'!AX$1,'DATA INPUT'!$A$3:$A$3000,"&gt;="&amp;DATE(2023,4,1),'DATA INPUT'!$A$3:$A$3000,"&lt;"&amp;DATE(2023,4,31),'DATA INPUT'!$F$3:$F$3000,"&lt;&gt;*Exclude*"))/(COUNTIFS('DATA INPUT'!$B$3:$B$3000,'Report Tables'!AX$1,'DATA INPUT'!$A$3:$A$3000,"&gt;="&amp;DATE(2023,4,1),'DATA INPUT'!$A$3:$A$3000,"&lt;"&amp;DATE(2023,4,31),'DATA INPUT'!$F$3:$F$3000,"&lt;&gt;*Exclude*")),#N/A))</f>
        <v>#N/A</v>
      </c>
      <c r="AZ78" s="117" t="e">
        <f>IF($L$2="Yes",IFERROR((SUMIFS('DATA INPUT'!$C$3:$C$3000,'DATA INPUT'!$B$3:$B$3000,'Report Tables'!AX$1,'DATA INPUT'!$A$3:$A$3000,"&gt;="&amp;DATE(2023,4,1),'DATA INPUT'!$A$3:$A$3000,"&lt;"&amp;DATE(2023,4,31)))/COUNTIFS('DATA INPUT'!$B$3:$B$3000,'Report Tables'!AX$1,'DATA INPUT'!$A$3:$A$3000,"&gt;="&amp;DATE(2023,4,1),'DATA INPUT'!$A$3:$A$3000,"&lt;"&amp;DATE(2023,4,31)),#N/A),IFERROR((SUMIFS('DATA INPUT'!$C$3:$C$3000,'DATA INPUT'!$B$3:$B$3000,'Report Tables'!AX$1,'DATA INPUT'!$A$3:$A$3000,"&gt;="&amp;DATE(2023,4,1),'DATA INPUT'!$A$3:$A$3000,"&lt;"&amp;DATE(2023,4,31),'DATA INPUT'!$F$3:$F$3000,"&lt;&gt;*Exclude*"))/(COUNTIFS('DATA INPUT'!$B$3:$B$3000,'Report Tables'!AX$1,'DATA INPUT'!$A$3:$A$3000,"&gt;="&amp;DATE(2023,4,1),'DATA INPUT'!$A$3:$A$3000,"&lt;"&amp;DATE(2023,4,31),'DATA INPUT'!$F$3:$F$3000,"&lt;&gt;*Exclude*")),#N/A))</f>
        <v>#N/A</v>
      </c>
    </row>
    <row r="79" spans="25:52" x14ac:dyDescent="0.3">
      <c r="Y79" s="149"/>
      <c r="Z79" s="149" t="s">
        <v>16</v>
      </c>
      <c r="AA79" s="136" t="e">
        <f>IF($L$2="Yes",IF(SUMIFS('DATA INPUT'!$E$3:$E$3000,'DATA INPUT'!$B$3:$B$3000,'Report Tables'!AA$1,'DATA INPUT'!$A$3:$A$3000,"&gt;="&amp;DATE(2023,5,1),'DATA INPUT'!$A$3:$A$3000,"&lt;"&amp;DATE(2023,5,31))=0,#N/A,(SUMIFS('DATA INPUT'!$E$3:$E$3000,'DATA INPUT'!$B$3:$B$3000,'Report Tables'!AA$1,'DATA INPUT'!$A$3:$A$3000,"&gt;="&amp;DATE(2023,5,1),'DATA INPUT'!$A$3:$A$3000,"&lt;"&amp;DATE(2023,5,31)))),IF(SUMIFS('DATA INPUT'!$E$3:$E$3000,'DATA INPUT'!$B$3:$B$3000,'Report Tables'!AA$1,'DATA INPUT'!$A$3:$A$3000,"&gt;="&amp;DATE(2023,5,1),'DATA INPUT'!$A$3:$A$3000,"&lt;"&amp;DATE(2023,5,31),'DATA INPUT'!$F$3:$F$3000,"&lt;&gt;*Exclude*")=0,#N/A,(SUMIFS('DATA INPUT'!$E$3:$E$3000,'DATA INPUT'!$B$3:$B$3000,'Report Tables'!AA$1,'DATA INPUT'!$A$3:$A$3000,"&gt;="&amp;DATE(2023,5,1),'DATA INPUT'!$A$3:$A$3000,"&lt;"&amp;DATE(2023,5,31),'DATA INPUT'!$F$3:$F$3000,"&lt;&gt;*Exclude*"))))</f>
        <v>#N/A</v>
      </c>
      <c r="AB79" s="136" t="e">
        <f>IF($L$2="Yes",IF(SUMIFS('DATA INPUT'!$E$3:$E$3000,'DATA INPUT'!$B$3:$B$3000,'Report Tables'!AB$1,'DATA INPUT'!$A$3:$A$3000,"&gt;="&amp;DATE(2023,5,1),'DATA INPUT'!$A$3:$A$3000,"&lt;"&amp;DATE(2023,5,31))=0,#N/A,(SUMIFS('DATA INPUT'!$E$3:$E$3000,'DATA INPUT'!$B$3:$B$3000,'Report Tables'!AB$1,'DATA INPUT'!$A$3:$A$3000,"&gt;="&amp;DATE(2023,5,1),'DATA INPUT'!$A$3:$A$3000,"&lt;"&amp;DATE(2023,5,31)))),IF(SUMIFS('DATA INPUT'!$E$3:$E$3000,'DATA INPUT'!$B$3:$B$3000,'Report Tables'!AB$1,'DATA INPUT'!$A$3:$A$3000,"&gt;="&amp;DATE(2023,5,1),'DATA INPUT'!$A$3:$A$3000,"&lt;"&amp;DATE(2023,5,31),'DATA INPUT'!$F$3:$F$3000,"&lt;&gt;*Exclude*")=0,#N/A,(SUMIFS('DATA INPUT'!$E$3:$E$3000,'DATA INPUT'!$B$3:$B$3000,'Report Tables'!AB$1,'DATA INPUT'!$A$3:$A$3000,"&gt;="&amp;DATE(2023,5,1),'DATA INPUT'!$A$3:$A$3000,"&lt;"&amp;DATE(2023,5,31),'DATA INPUT'!$F$3:$F$3000,"&lt;&gt;*Exclude*"))))</f>
        <v>#N/A</v>
      </c>
      <c r="AC79" s="136" t="e">
        <f>IF($L$2="Yes",IF(SUMIFS('DATA INPUT'!$E$3:$E$3000,'DATA INPUT'!$B$3:$B$3000,'Report Tables'!AC$1,'DATA INPUT'!$A$3:$A$3000,"&gt;="&amp;DATE(2023,5,1),'DATA INPUT'!$A$3:$A$3000,"&lt;"&amp;DATE(2023,5,31))=0,#N/A,(SUMIFS('DATA INPUT'!$E$3:$E$3000,'DATA INPUT'!$B$3:$B$3000,'Report Tables'!AC$1,'DATA INPUT'!$A$3:$A$3000,"&gt;="&amp;DATE(2023,5,1),'DATA INPUT'!$A$3:$A$3000,"&lt;"&amp;DATE(2023,5,31)))),IF(SUMIFS('DATA INPUT'!$E$3:$E$3000,'DATA INPUT'!$B$3:$B$3000,'Report Tables'!AC$1,'DATA INPUT'!$A$3:$A$3000,"&gt;="&amp;DATE(2023,5,1),'DATA INPUT'!$A$3:$A$3000,"&lt;"&amp;DATE(2023,5,31),'DATA INPUT'!$F$3:$F$3000,"&lt;&gt;*Exclude*")=0,#N/A,(SUMIFS('DATA INPUT'!$E$3:$E$3000,'DATA INPUT'!$B$3:$B$3000,'Report Tables'!AC$1,'DATA INPUT'!$A$3:$A$3000,"&gt;="&amp;DATE(2023,5,1),'DATA INPUT'!$A$3:$A$3000,"&lt;"&amp;DATE(2023,5,31),'DATA INPUT'!$F$3:$F$3000,"&lt;&gt;*Exclude*"))))</f>
        <v>#N/A</v>
      </c>
      <c r="AD79" s="136" t="e">
        <f>IF($L$2="Yes",IF(SUMIFS('DATA INPUT'!$E$3:$E$3000,'DATA INPUT'!$B$3:$B$3000,'Report Tables'!AD$1,'DATA INPUT'!$A$3:$A$3000,"&gt;="&amp;DATE(2023,5,1),'DATA INPUT'!$A$3:$A$3000,"&lt;"&amp;DATE(2023,5,31))=0,#N/A,(SUMIFS('DATA INPUT'!$E$3:$E$3000,'DATA INPUT'!$B$3:$B$3000,'Report Tables'!AD$1,'DATA INPUT'!$A$3:$A$3000,"&gt;="&amp;DATE(2023,5,1),'DATA INPUT'!$A$3:$A$3000,"&lt;"&amp;DATE(2023,5,31)))),IF(SUMIFS('DATA INPUT'!$E$3:$E$3000,'DATA INPUT'!$B$3:$B$3000,'Report Tables'!AD$1,'DATA INPUT'!$A$3:$A$3000,"&gt;="&amp;DATE(2023,5,1),'DATA INPUT'!$A$3:$A$3000,"&lt;"&amp;DATE(2023,5,31),'DATA INPUT'!$F$3:$F$3000,"&lt;&gt;*Exclude*")=0,#N/A,(SUMIFS('DATA INPUT'!$E$3:$E$3000,'DATA INPUT'!$B$3:$B$3000,'Report Tables'!AD$1,'DATA INPUT'!$A$3:$A$3000,"&gt;="&amp;DATE(2023,5,1),'DATA INPUT'!$A$3:$A$3000,"&lt;"&amp;DATE(2023,5,31),'DATA INPUT'!$F$3:$F$3000,"&lt;&gt;*Exclude*"))))</f>
        <v>#N/A</v>
      </c>
      <c r="AE79" s="136" t="e">
        <f>IF($L$2="Yes",IF(SUMIFS('DATA INPUT'!$E$3:$E$3000,'DATA INPUT'!$B$3:$B$3000,'Report Tables'!AE$1,'DATA INPUT'!$A$3:$A$3000,"&gt;="&amp;DATE(2023,5,1),'DATA INPUT'!$A$3:$A$3000,"&lt;"&amp;DATE(2023,5,31))=0,#N/A,(SUMIFS('DATA INPUT'!$E$3:$E$3000,'DATA INPUT'!$B$3:$B$3000,'Report Tables'!AE$1,'DATA INPUT'!$A$3:$A$3000,"&gt;="&amp;DATE(2023,5,1),'DATA INPUT'!$A$3:$A$3000,"&lt;"&amp;DATE(2023,5,31)))),IF(SUMIFS('DATA INPUT'!$E$3:$E$3000,'DATA INPUT'!$B$3:$B$3000,'Report Tables'!AE$1,'DATA INPUT'!$A$3:$A$3000,"&gt;="&amp;DATE(2023,5,1),'DATA INPUT'!$A$3:$A$3000,"&lt;"&amp;DATE(2023,5,31),'DATA INPUT'!$F$3:$F$3000,"&lt;&gt;*Exclude*")=0,#N/A,(SUMIFS('DATA INPUT'!$E$3:$E$3000,'DATA INPUT'!$B$3:$B$3000,'Report Tables'!AE$1,'DATA INPUT'!$A$3:$A$3000,"&gt;="&amp;DATE(2023,5,1),'DATA INPUT'!$A$3:$A$3000,"&lt;"&amp;DATE(2023,5,31),'DATA INPUT'!$F$3:$F$3000,"&lt;&gt;*Exclude*"))))</f>
        <v>#N/A</v>
      </c>
      <c r="AF79" s="136" t="e">
        <f>IF($L$2="Yes",IF(SUMIFS('DATA INPUT'!$E$3:$E$3000,'DATA INPUT'!$B$3:$B$3000,'Report Tables'!AF$1,'DATA INPUT'!$A$3:$A$3000,"&gt;="&amp;DATE(2023,5,1),'DATA INPUT'!$A$3:$A$3000,"&lt;"&amp;DATE(2023,5,31))=0,#N/A,(SUMIFS('DATA INPUT'!$E$3:$E$3000,'DATA INPUT'!$B$3:$B$3000,'Report Tables'!AF$1,'DATA INPUT'!$A$3:$A$3000,"&gt;="&amp;DATE(2023,5,1),'DATA INPUT'!$A$3:$A$3000,"&lt;"&amp;DATE(2023,5,31)))),IF(SUMIFS('DATA INPUT'!$E$3:$E$3000,'DATA INPUT'!$B$3:$B$3000,'Report Tables'!AF$1,'DATA INPUT'!$A$3:$A$3000,"&gt;="&amp;DATE(2023,5,1),'DATA INPUT'!$A$3:$A$3000,"&lt;"&amp;DATE(2023,5,31),'DATA INPUT'!$F$3:$F$3000,"&lt;&gt;*Exclude*")=0,#N/A,(SUMIFS('DATA INPUT'!$E$3:$E$3000,'DATA INPUT'!$B$3:$B$3000,'Report Tables'!AF$1,'DATA INPUT'!$A$3:$A$3000,"&gt;="&amp;DATE(2023,5,1),'DATA INPUT'!$A$3:$A$3000,"&lt;"&amp;DATE(2023,5,31),'DATA INPUT'!$F$3:$F$3000,"&lt;&gt;*Exclude*"))))</f>
        <v>#N/A</v>
      </c>
      <c r="AG79" s="136" t="e">
        <f>IF($L$2="Yes",IF(SUMIFS('DATA INPUT'!$E$3:$E$3000,'DATA INPUT'!$B$3:$B$3000,'Report Tables'!AG$1,'DATA INPUT'!$A$3:$A$3000,"&gt;="&amp;DATE(2023,5,1),'DATA INPUT'!$A$3:$A$3000,"&lt;"&amp;DATE(2023,5,31))=0,#N/A,(SUMIFS('DATA INPUT'!$E$3:$E$3000,'DATA INPUT'!$B$3:$B$3000,'Report Tables'!AG$1,'DATA INPUT'!$A$3:$A$3000,"&gt;="&amp;DATE(2023,5,1),'DATA INPUT'!$A$3:$A$3000,"&lt;"&amp;DATE(2023,5,31)))),IF(SUMIFS('DATA INPUT'!$E$3:$E$3000,'DATA INPUT'!$B$3:$B$3000,'Report Tables'!AG$1,'DATA INPUT'!$A$3:$A$3000,"&gt;="&amp;DATE(2023,5,1),'DATA INPUT'!$A$3:$A$3000,"&lt;"&amp;DATE(2023,5,31),'DATA INPUT'!$F$3:$F$3000,"&lt;&gt;*Exclude*")=0,#N/A,(SUMIFS('DATA INPUT'!$E$3:$E$3000,'DATA INPUT'!$B$3:$B$3000,'Report Tables'!AG$1,'DATA INPUT'!$A$3:$A$3000,"&gt;="&amp;DATE(2023,5,1),'DATA INPUT'!$A$3:$A$3000,"&lt;"&amp;DATE(2023,5,31),'DATA INPUT'!$F$3:$F$3000,"&lt;&gt;*Exclude*"))))</f>
        <v>#N/A</v>
      </c>
      <c r="AH79" s="136" t="e">
        <f>IF($L$2="Yes",IF(SUMIFS('DATA INPUT'!$E$3:$E$3000,'DATA INPUT'!$B$3:$B$3000,'Report Tables'!AH$1,'DATA INPUT'!$A$3:$A$3000,"&gt;="&amp;DATE(2023,5,1),'DATA INPUT'!$A$3:$A$3000,"&lt;"&amp;DATE(2023,5,31))=0,#N/A,(SUMIFS('DATA INPUT'!$E$3:$E$3000,'DATA INPUT'!$B$3:$B$3000,'Report Tables'!AH$1,'DATA INPUT'!$A$3:$A$3000,"&gt;="&amp;DATE(2023,5,1),'DATA INPUT'!$A$3:$A$3000,"&lt;"&amp;DATE(2023,5,31)))),IF(SUMIFS('DATA INPUT'!$E$3:$E$3000,'DATA INPUT'!$B$3:$B$3000,'Report Tables'!AH$1,'DATA INPUT'!$A$3:$A$3000,"&gt;="&amp;DATE(2023,5,1),'DATA INPUT'!$A$3:$A$3000,"&lt;"&amp;DATE(2023,5,31),'DATA INPUT'!$F$3:$F$3000,"&lt;&gt;*Exclude*")=0,#N/A,(SUMIFS('DATA INPUT'!$E$3:$E$3000,'DATA INPUT'!$B$3:$B$3000,'Report Tables'!AH$1,'DATA INPUT'!$A$3:$A$3000,"&gt;="&amp;DATE(2023,5,1),'DATA INPUT'!$A$3:$A$3000,"&lt;"&amp;DATE(2023,5,31),'DATA INPUT'!$F$3:$F$3000,"&lt;&gt;*Exclude*"))))</f>
        <v>#N/A</v>
      </c>
      <c r="AI79" s="136" t="e">
        <f t="shared" si="23"/>
        <v>#N/A</v>
      </c>
      <c r="AJ79" s="136" t="e">
        <f>IF($L$2="Yes",IF(SUMIFS('DATA INPUT'!$D$3:$D$3000,'DATA INPUT'!$A$3:$A$3000,"&gt;="&amp;DATE(2023,5,1),'DATA INPUT'!$A$3:$A$3000,"&lt;"&amp;DATE(2023,5,31),'DATA INPUT'!$G$3:$G$3000,"&lt;&gt;*School service*")=0,#N/A,(SUMIFS('DATA INPUT'!$D$3:$D$3000,'DATA INPUT'!$A$3:$A$3000,"&gt;="&amp;DATE(2023,5,1),'DATA INPUT'!$A$3:$A$3000,"&lt;"&amp;DATE(2023,5,31),'DATA INPUT'!$G$3:$G$3000,"&lt;&gt;*School service*"))),IF(SUMIFS('DATA INPUT'!$D$3:$D$3000,'DATA INPUT'!$A$3:$A$3000,"&gt;="&amp;DATE(2023,5,1),'DATA INPUT'!$A$3:$A$3000,"&lt;"&amp;DATE(2023,5,31),'DATA INPUT'!$F$3:$F$3000,"&lt;&gt;*Exclude*",'DATA INPUT'!$G$3:$G$3000,"&lt;&gt;*School service*")=0,#N/A,(SUMIFS('DATA INPUT'!$D$3:$D$3000,'DATA INPUT'!$A$3:$A$3000,"&gt;="&amp;DATE(2023,5,1),'DATA INPUT'!$A$3:$A$3000,"&lt;"&amp;DATE(2023,5,31),'DATA INPUT'!$F$3:$F$3000,"&lt;&gt;*Exclude*",'DATA INPUT'!$G$3:$G$3000,"&lt;&gt;*School service*"))))</f>
        <v>#N/A</v>
      </c>
      <c r="AK79" s="136" t="e">
        <f>AI79-AJ79</f>
        <v>#N/A</v>
      </c>
      <c r="AM79" s="117" t="e">
        <f>IF($L$2="Yes",IFERROR((SUMIFS('DATA INPUT'!$E$3:$E$3000,'DATA INPUT'!$B$3:$B$3000,'Report Tables'!AM$1,'DATA INPUT'!$A$3:$A$3000,"&gt;="&amp;DATE(2023,5,1),'DATA INPUT'!$A$3:$A$3000,"&lt;"&amp;DATE(2023,5,31)))/COUNTIFS('DATA INPUT'!$B$3:$B$3000,'Report Tables'!AM$1,'DATA INPUT'!$A$3:$A$3000,"&gt;="&amp;DATE(2023,5,1),'DATA INPUT'!$A$3:$A$3000,"&lt;"&amp;DATE(2023,5,31)),#N/A),IFERROR((SUMIFS('DATA INPUT'!$E$3:$E$3000,'DATA INPUT'!$B$3:$B$3000,'Report Tables'!AM$1,'DATA INPUT'!$A$3:$A$3000,"&gt;="&amp;DATE(2023,5,1),'DATA INPUT'!$A$3:$A$3000,"&lt;"&amp;DATE(2023,5,31),'DATA INPUT'!$F$3:$F$3000,"&lt;&gt;*Exclude*"))/(COUNTIFS('DATA INPUT'!$B$3:$B$3000,'Report Tables'!AM$1,'DATA INPUT'!$A$3:$A$3000,"&gt;="&amp;DATE(2023,5,1),'DATA INPUT'!$A$3:$A$3000,"&lt;"&amp;DATE(2023,5,31),'DATA INPUT'!$F$3:$F$3000,"&lt;&gt;*Exclude*")),#N/A))</f>
        <v>#N/A</v>
      </c>
      <c r="AN79" s="117" t="e">
        <f>IF($L$2="Yes",IFERROR((SUMIFS('DATA INPUT'!$E$3:$E$3000,'DATA INPUT'!$B$3:$B$3000,'Report Tables'!AN$1,'DATA INPUT'!$A$3:$A$3000,"&gt;="&amp;DATE(2023,5,1),'DATA INPUT'!$A$3:$A$3000,"&lt;"&amp;DATE(2023,5,31)))/COUNTIFS('DATA INPUT'!$B$3:$B$3000,'Report Tables'!AN$1,'DATA INPUT'!$A$3:$A$3000,"&gt;="&amp;DATE(2023,5,1),'DATA INPUT'!$A$3:$A$3000,"&lt;"&amp;DATE(2023,5,31)),#N/A),IFERROR((SUMIFS('DATA INPUT'!$E$3:$E$3000,'DATA INPUT'!$B$3:$B$3000,'Report Tables'!AN$1,'DATA INPUT'!$A$3:$A$3000,"&gt;="&amp;DATE(2023,5,1),'DATA INPUT'!$A$3:$A$3000,"&lt;"&amp;DATE(2023,5,31),'DATA INPUT'!$F$3:$F$3000,"&lt;&gt;*Exclude*"))/(COUNTIFS('DATA INPUT'!$B$3:$B$3000,'Report Tables'!AN$1,'DATA INPUT'!$A$3:$A$3000,"&gt;="&amp;DATE(2023,5,1),'DATA INPUT'!$A$3:$A$3000,"&lt;"&amp;DATE(2023,5,31),'DATA INPUT'!$F$3:$F$3000,"&lt;&gt;*Exclude*")),#N/A))</f>
        <v>#N/A</v>
      </c>
      <c r="AO79" s="117" t="e">
        <f>IF($L$2="Yes",IFERROR((SUMIFS('DATA INPUT'!$E$3:$E$3000,'DATA INPUT'!$B$3:$B$3000,'Report Tables'!AO$1,'DATA INPUT'!$A$3:$A$3000,"&gt;="&amp;DATE(2023,5,1),'DATA INPUT'!$A$3:$A$3000,"&lt;"&amp;DATE(2023,5,31)))/COUNTIFS('DATA INPUT'!$B$3:$B$3000,'Report Tables'!AO$1,'DATA INPUT'!$A$3:$A$3000,"&gt;="&amp;DATE(2023,5,1),'DATA INPUT'!$A$3:$A$3000,"&lt;"&amp;DATE(2023,5,31)),#N/A),IFERROR((SUMIFS('DATA INPUT'!$E$3:$E$3000,'DATA INPUT'!$B$3:$B$3000,'Report Tables'!AO$1,'DATA INPUT'!$A$3:$A$3000,"&gt;="&amp;DATE(2023,5,1),'DATA INPUT'!$A$3:$A$3000,"&lt;"&amp;DATE(2023,5,31),'DATA INPUT'!$F$3:$F$3000,"&lt;&gt;*Exclude*"))/(COUNTIFS('DATA INPUT'!$B$3:$B$3000,'Report Tables'!AO$1,'DATA INPUT'!$A$3:$A$3000,"&gt;="&amp;DATE(2023,5,1),'DATA INPUT'!$A$3:$A$3000,"&lt;"&amp;DATE(2023,5,31),'DATA INPUT'!$F$3:$F$3000,"&lt;&gt;*Exclude*")),#N/A))</f>
        <v>#N/A</v>
      </c>
      <c r="AP79" s="117" t="e">
        <f>IF($L$2="Yes",IFERROR((SUMIFS('DATA INPUT'!$E$3:$E$3000,'DATA INPUT'!$B$3:$B$3000,'Report Tables'!AP$1,'DATA INPUT'!$A$3:$A$3000,"&gt;="&amp;DATE(2023,5,1),'DATA INPUT'!$A$3:$A$3000,"&lt;"&amp;DATE(2023,5,31)))/COUNTIFS('DATA INPUT'!$B$3:$B$3000,'Report Tables'!AP$1,'DATA INPUT'!$A$3:$A$3000,"&gt;="&amp;DATE(2023,5,1),'DATA INPUT'!$A$3:$A$3000,"&lt;"&amp;DATE(2023,5,31)),#N/A),IFERROR((SUMIFS('DATA INPUT'!$E$3:$E$3000,'DATA INPUT'!$B$3:$B$3000,'Report Tables'!AP$1,'DATA INPUT'!$A$3:$A$3000,"&gt;="&amp;DATE(2023,5,1),'DATA INPUT'!$A$3:$A$3000,"&lt;"&amp;DATE(2023,5,31),'DATA INPUT'!$F$3:$F$3000,"&lt;&gt;*Exclude*"))/(COUNTIFS('DATA INPUT'!$B$3:$B$3000,'Report Tables'!AP$1,'DATA INPUT'!$A$3:$A$3000,"&gt;="&amp;DATE(2023,5,1),'DATA INPUT'!$A$3:$A$3000,"&lt;"&amp;DATE(2023,5,31),'DATA INPUT'!$F$3:$F$3000,"&lt;&gt;*Exclude*")),#N/A))</f>
        <v>#N/A</v>
      </c>
      <c r="AQ79" s="117" t="e">
        <f>IF($L$2="Yes",IFERROR((SUMIFS('DATA INPUT'!$E$3:$E$3000,'DATA INPUT'!$B$3:$B$3000,'Report Tables'!AQ$1,'DATA INPUT'!$A$3:$A$3000,"&gt;="&amp;DATE(2023,5,1),'DATA INPUT'!$A$3:$A$3000,"&lt;"&amp;DATE(2023,5,31)))/COUNTIFS('DATA INPUT'!$B$3:$B$3000,'Report Tables'!AQ$1,'DATA INPUT'!$A$3:$A$3000,"&gt;="&amp;DATE(2023,5,1),'DATA INPUT'!$A$3:$A$3000,"&lt;"&amp;DATE(2023,5,31)),#N/A),IFERROR((SUMIFS('DATA INPUT'!$E$3:$E$3000,'DATA INPUT'!$B$3:$B$3000,'Report Tables'!AQ$1,'DATA INPUT'!$A$3:$A$3000,"&gt;="&amp;DATE(2023,5,1),'DATA INPUT'!$A$3:$A$3000,"&lt;"&amp;DATE(2023,5,31),'DATA INPUT'!$F$3:$F$3000,"&lt;&gt;*Exclude*"))/(COUNTIFS('DATA INPUT'!$B$3:$B$3000,'Report Tables'!AQ$1,'DATA INPUT'!$A$3:$A$3000,"&gt;="&amp;DATE(2023,5,1),'DATA INPUT'!$A$3:$A$3000,"&lt;"&amp;DATE(2023,5,31),'DATA INPUT'!$F$3:$F$3000,"&lt;&gt;*Exclude*")),#N/A))</f>
        <v>#N/A</v>
      </c>
      <c r="AR79" s="117" t="e">
        <f>IF($L$2="Yes",IFERROR((SUMIFS('DATA INPUT'!$E$3:$E$3000,'DATA INPUT'!$B$3:$B$3000,'Report Tables'!AR$1,'DATA INPUT'!$A$3:$A$3000,"&gt;="&amp;DATE(2023,5,1),'DATA INPUT'!$A$3:$A$3000,"&lt;"&amp;DATE(2023,5,31)))/COUNTIFS('DATA INPUT'!$B$3:$B$3000,'Report Tables'!AR$1,'DATA INPUT'!$A$3:$A$3000,"&gt;="&amp;DATE(2023,5,1),'DATA INPUT'!$A$3:$A$3000,"&lt;"&amp;DATE(2023,5,31)),#N/A),IFERROR((SUMIFS('DATA INPUT'!$E$3:$E$3000,'DATA INPUT'!$B$3:$B$3000,'Report Tables'!AR$1,'DATA INPUT'!$A$3:$A$3000,"&gt;="&amp;DATE(2023,5,1),'DATA INPUT'!$A$3:$A$3000,"&lt;"&amp;DATE(2023,5,31),'DATA INPUT'!$F$3:$F$3000,"&lt;&gt;*Exclude*"))/(COUNTIFS('DATA INPUT'!$B$3:$B$3000,'Report Tables'!AR$1,'DATA INPUT'!$A$3:$A$3000,"&gt;="&amp;DATE(2023,5,1),'DATA INPUT'!$A$3:$A$3000,"&lt;"&amp;DATE(2023,5,31),'DATA INPUT'!$F$3:$F$3000,"&lt;&gt;*Exclude*")),#N/A))</f>
        <v>#N/A</v>
      </c>
      <c r="AS79" s="117" t="e">
        <f>IF($L$2="Yes",IFERROR((SUMIFS('DATA INPUT'!$E$3:$E$3000,'DATA INPUT'!$B$3:$B$3000,'Report Tables'!AS$1,'DATA INPUT'!$A$3:$A$3000,"&gt;="&amp;DATE(2023,5,1),'DATA INPUT'!$A$3:$A$3000,"&lt;"&amp;DATE(2023,5,31)))/COUNTIFS('DATA INPUT'!$B$3:$B$3000,'Report Tables'!AS$1,'DATA INPUT'!$A$3:$A$3000,"&gt;="&amp;DATE(2023,5,1),'DATA INPUT'!$A$3:$A$3000,"&lt;"&amp;DATE(2023,5,31)),#N/A),IFERROR((SUMIFS('DATA INPUT'!$E$3:$E$3000,'DATA INPUT'!$B$3:$B$3000,'Report Tables'!AS$1,'DATA INPUT'!$A$3:$A$3000,"&gt;="&amp;DATE(2023,5,1),'DATA INPUT'!$A$3:$A$3000,"&lt;"&amp;DATE(2023,5,31),'DATA INPUT'!$F$3:$F$3000,"&lt;&gt;*Exclude*"))/(COUNTIFS('DATA INPUT'!$B$3:$B$3000,'Report Tables'!AS$1,'DATA INPUT'!$A$3:$A$3000,"&gt;="&amp;DATE(2023,5,1),'DATA INPUT'!$A$3:$A$3000,"&lt;"&amp;DATE(2023,5,31),'DATA INPUT'!$F$3:$F$3000,"&lt;&gt;*Exclude*")),#N/A))</f>
        <v>#N/A</v>
      </c>
      <c r="AT79" s="117" t="e">
        <f>IF($L$2="Yes",IFERROR((SUMIFS('DATA INPUT'!$E$3:$E$3000,'DATA INPUT'!$B$3:$B$3000,'Report Tables'!AT$1,'DATA INPUT'!$A$3:$A$3000,"&gt;="&amp;DATE(2023,5,1),'DATA INPUT'!$A$3:$A$3000,"&lt;"&amp;DATE(2023,5,31)))/COUNTIFS('DATA INPUT'!$B$3:$B$3000,'Report Tables'!AT$1,'DATA INPUT'!$A$3:$A$3000,"&gt;="&amp;DATE(2023,5,1),'DATA INPUT'!$A$3:$A$3000,"&lt;"&amp;DATE(2023,5,31)),#N/A),IFERROR((SUMIFS('DATA INPUT'!$E$3:$E$3000,'DATA INPUT'!$B$3:$B$3000,'Report Tables'!AT$1,'DATA INPUT'!$A$3:$A$3000,"&gt;="&amp;DATE(2023,5,1),'DATA INPUT'!$A$3:$A$3000,"&lt;"&amp;DATE(2023,5,31),'DATA INPUT'!$F$3:$F$3000,"&lt;&gt;*Exclude*"))/(COUNTIFS('DATA INPUT'!$B$3:$B$3000,'Report Tables'!AT$1,'DATA INPUT'!$A$3:$A$3000,"&gt;="&amp;DATE(2023,5,1),'DATA INPUT'!$A$3:$A$3000,"&lt;"&amp;DATE(2023,5,31),'DATA INPUT'!$F$3:$F$3000,"&lt;&gt;*Exclude*")),#N/A))</f>
        <v>#N/A</v>
      </c>
      <c r="AU79" s="117" t="e">
        <f t="shared" si="24"/>
        <v>#N/A</v>
      </c>
      <c r="AV79" s="117" t="e">
        <f>IF($L$2="Yes",IFERROR((SUMIFS('DATA INPUT'!$D$3:$D$3000,'DATA INPUT'!$A$3:$A$3000,"&gt;="&amp;DATE(2023,5,1),'DATA INPUT'!$A$3:$A$3000,"&lt;"&amp;DATE(2023,5,31),'DATA INPUT'!$G$3:$G$3000,"&lt;&gt;*School service*"))/COUNTIFS('DATA INPUT'!$A$3:$A$3000,"&gt;="&amp;DATE(2023,5,1),'DATA INPUT'!$A$3:$A$3000,"&lt;"&amp;DATE(2023,5,31),'DATA INPUT'!$G$3:$G$3000,"&lt;&gt;*School service*",'DATA INPUT'!$D$3:$D$3000,"&lt;&gt;"&amp;""),#N/A),IFERROR((SUMIFS('DATA INPUT'!$D$3:$D$3000,'DATA INPUT'!$A$3:$A$3000,"&gt;="&amp;DATE(2023,5,1),'DATA INPUT'!$A$3:$A$3000,"&lt;"&amp;DATE(2023,5,31),'DATA INPUT'!$F$3:$F$3000,"&lt;&gt;*Exclude*",'DATA INPUT'!$G$3:$G$3000,"&lt;&gt;*School service*"))/(COUNTIFS('DATA INPUT'!$A$3:$A$3000,"&gt;="&amp;DATE(2023,5,1),'DATA INPUT'!$A$3:$A$3000,"&lt;"&amp;DATE(2023,5,31),'DATA INPUT'!$F$3:$F$3000,"&lt;&gt;*Exclude*",'DATA INPUT'!$G$3:$G$3000,"&lt;&gt;*School service*",'DATA INPUT'!$D$3:$D$3000,"&lt;&gt;"&amp;"")),#N/A))</f>
        <v>#N/A</v>
      </c>
      <c r="AW79" s="117" t="e">
        <f t="shared" si="25"/>
        <v>#N/A</v>
      </c>
      <c r="AX79" s="117" t="e">
        <f>IF($L$2="Yes",IFERROR((SUMIFS('DATA INPUT'!$E$3:$E$3000,'DATA INPUT'!$B$3:$B$3000,'Report Tables'!AX$1,'DATA INPUT'!$A$3:$A$3000,"&gt;="&amp;DATE(2023,5,1),'DATA INPUT'!$A$3:$A$3000,"&lt;"&amp;DATE(2023,5,31)))/COUNTIFS('DATA INPUT'!$B$3:$B$3000,'Report Tables'!AX$1,'DATA INPUT'!$A$3:$A$3000,"&gt;="&amp;DATE(2023,5,1),'DATA INPUT'!$A$3:$A$3000,"&lt;"&amp;DATE(2023,5,31)),#N/A),IFERROR((SUMIFS('DATA INPUT'!$E$3:$E$3000,'DATA INPUT'!$B$3:$B$3000,'Report Tables'!AX$1,'DATA INPUT'!$A$3:$A$3000,"&gt;="&amp;DATE(2023,5,1),'DATA INPUT'!$A$3:$A$3000,"&lt;"&amp;DATE(2023,5,31),'DATA INPUT'!$F$3:$F$3000,"&lt;&gt;*Exclude*"))/(COUNTIFS('DATA INPUT'!$B$3:$B$3000,'Report Tables'!AX$1,'DATA INPUT'!$A$3:$A$3000,"&gt;="&amp;DATE(2023,5,1),'DATA INPUT'!$A$3:$A$3000,"&lt;"&amp;DATE(2023,5,31),'DATA INPUT'!$F$3:$F$3000,"&lt;&gt;*Exclude*")),#N/A))</f>
        <v>#N/A</v>
      </c>
      <c r="AY79" s="117" t="e">
        <f>IF($L$2="Yes",IFERROR((SUMIFS('DATA INPUT'!$D$3:$D$3000,'DATA INPUT'!$B$3:$B$3000,'Report Tables'!AX$1,'DATA INPUT'!$A$3:$A$3000,"&gt;="&amp;DATE(2023,5,1),'DATA INPUT'!$A$3:$A$3000,"&lt;"&amp;DATE(2023,5,31)))/COUNTIFS('DATA INPUT'!$B$3:$B$3000,'Report Tables'!AX$1,'DATA INPUT'!$A$3:$A$3000,"&gt;="&amp;DATE(2023,5,1),'DATA INPUT'!$A$3:$A$3000,"&lt;"&amp;DATE(2023,5,31)),#N/A),IFERROR((SUMIFS('DATA INPUT'!$D$3:$D$3000,'DATA INPUT'!$B$3:$B$3000,'Report Tables'!AX$1,'DATA INPUT'!$A$3:$A$3000,"&gt;="&amp;DATE(2023,5,1),'DATA INPUT'!$A$3:$A$3000,"&lt;"&amp;DATE(2023,5,31),'DATA INPUT'!$F$3:$F$3000,"&lt;&gt;*Exclude*"))/(COUNTIFS('DATA INPUT'!$B$3:$B$3000,'Report Tables'!AX$1,'DATA INPUT'!$A$3:$A$3000,"&gt;="&amp;DATE(2023,5,1),'DATA INPUT'!$A$3:$A$3000,"&lt;"&amp;DATE(2023,5,31),'DATA INPUT'!$F$3:$F$3000,"&lt;&gt;*Exclude*")),#N/A))</f>
        <v>#N/A</v>
      </c>
      <c r="AZ79" s="117" t="e">
        <f>IF($L$2="Yes",IFERROR((SUMIFS('DATA INPUT'!$C$3:$C$3000,'DATA INPUT'!$B$3:$B$3000,'Report Tables'!AX$1,'DATA INPUT'!$A$3:$A$3000,"&gt;="&amp;DATE(2023,5,1),'DATA INPUT'!$A$3:$A$3000,"&lt;"&amp;DATE(2023,5,31)))/COUNTIFS('DATA INPUT'!$B$3:$B$3000,'Report Tables'!AX$1,'DATA INPUT'!$A$3:$A$3000,"&gt;="&amp;DATE(2023,5,1),'DATA INPUT'!$A$3:$A$3000,"&lt;"&amp;DATE(2023,5,31)),#N/A),IFERROR((SUMIFS('DATA INPUT'!$C$3:$C$3000,'DATA INPUT'!$B$3:$B$3000,'Report Tables'!AX$1,'DATA INPUT'!$A$3:$A$3000,"&gt;="&amp;DATE(2023,5,1),'DATA INPUT'!$A$3:$A$3000,"&lt;"&amp;DATE(2023,5,31),'DATA INPUT'!$F$3:$F$3000,"&lt;&gt;*Exclude*"))/(COUNTIFS('DATA INPUT'!$B$3:$B$3000,'Report Tables'!AX$1,'DATA INPUT'!$A$3:$A$3000,"&gt;="&amp;DATE(2023,5,1),'DATA INPUT'!$A$3:$A$3000,"&lt;"&amp;DATE(2023,5,31),'DATA INPUT'!$F$3:$F$3000,"&lt;&gt;*Exclude*")),#N/A))</f>
        <v>#N/A</v>
      </c>
    </row>
    <row r="80" spans="25:52" x14ac:dyDescent="0.3">
      <c r="Y80" s="149"/>
      <c r="Z80" s="149" t="s">
        <v>17</v>
      </c>
      <c r="AA80" s="136" t="e">
        <f>IF($L$2="Yes",IF(SUMIFS('DATA INPUT'!$E$3:$E$3000,'DATA INPUT'!$B$3:$B$3000,'Report Tables'!AA$1,'DATA INPUT'!$A$3:$A$3000,"&gt;="&amp;DATE(2023,6,1),'DATA INPUT'!$A$3:$A$3000,"&lt;"&amp;DATE(2023,6,31))=0,#N/A,(SUMIFS('DATA INPUT'!$E$3:$E$3000,'DATA INPUT'!$B$3:$B$3000,'Report Tables'!AA$1,'DATA INPUT'!$A$3:$A$3000,"&gt;="&amp;DATE(2023,6,1),'DATA INPUT'!$A$3:$A$3000,"&lt;"&amp;DATE(2023,6,31)))),IF(SUMIFS('DATA INPUT'!$E$3:$E$3000,'DATA INPUT'!$B$3:$B$3000,'Report Tables'!AA$1,'DATA INPUT'!$A$3:$A$3000,"&gt;="&amp;DATE(2023,6,1),'DATA INPUT'!$A$3:$A$3000,"&lt;"&amp;DATE(2023,6,31),'DATA INPUT'!$F$3:$F$3000,"&lt;&gt;*Exclude*")=0,#N/A,(SUMIFS('DATA INPUT'!$E$3:$E$3000,'DATA INPUT'!$B$3:$B$3000,'Report Tables'!AA$1,'DATA INPUT'!$A$3:$A$3000,"&gt;="&amp;DATE(2023,6,1),'DATA INPUT'!$A$3:$A$3000,"&lt;"&amp;DATE(2023,6,31),'DATA INPUT'!$F$3:$F$3000,"&lt;&gt;*Exclude*"))))</f>
        <v>#N/A</v>
      </c>
      <c r="AB80" s="136" t="e">
        <f>IF($L$2="Yes",IF(SUMIFS('DATA INPUT'!$E$3:$E$3000,'DATA INPUT'!$B$3:$B$3000,'Report Tables'!AB$1,'DATA INPUT'!$A$3:$A$3000,"&gt;="&amp;DATE(2023,6,1),'DATA INPUT'!$A$3:$A$3000,"&lt;"&amp;DATE(2023,6,31))=0,#N/A,(SUMIFS('DATA INPUT'!$E$3:$E$3000,'DATA INPUT'!$B$3:$B$3000,'Report Tables'!AB$1,'DATA INPUT'!$A$3:$A$3000,"&gt;="&amp;DATE(2023,6,1),'DATA INPUT'!$A$3:$A$3000,"&lt;"&amp;DATE(2023,6,31)))),IF(SUMIFS('DATA INPUT'!$E$3:$E$3000,'DATA INPUT'!$B$3:$B$3000,'Report Tables'!AB$1,'DATA INPUT'!$A$3:$A$3000,"&gt;="&amp;DATE(2023,6,1),'DATA INPUT'!$A$3:$A$3000,"&lt;"&amp;DATE(2023,6,31),'DATA INPUT'!$F$3:$F$3000,"&lt;&gt;*Exclude*")=0,#N/A,(SUMIFS('DATA INPUT'!$E$3:$E$3000,'DATA INPUT'!$B$3:$B$3000,'Report Tables'!AB$1,'DATA INPUT'!$A$3:$A$3000,"&gt;="&amp;DATE(2023,6,1),'DATA INPUT'!$A$3:$A$3000,"&lt;"&amp;DATE(2023,6,31),'DATA INPUT'!$F$3:$F$3000,"&lt;&gt;*Exclude*"))))</f>
        <v>#N/A</v>
      </c>
      <c r="AC80" s="136" t="e">
        <f>IF($L$2="Yes",IF(SUMIFS('DATA INPUT'!$E$3:$E$3000,'DATA INPUT'!$B$3:$B$3000,'Report Tables'!AC$1,'DATA INPUT'!$A$3:$A$3000,"&gt;="&amp;DATE(2023,6,1),'DATA INPUT'!$A$3:$A$3000,"&lt;"&amp;DATE(2023,6,31))=0,#N/A,(SUMIFS('DATA INPUT'!$E$3:$E$3000,'DATA INPUT'!$B$3:$B$3000,'Report Tables'!AC$1,'DATA INPUT'!$A$3:$A$3000,"&gt;="&amp;DATE(2023,6,1),'DATA INPUT'!$A$3:$A$3000,"&lt;"&amp;DATE(2023,6,31)))),IF(SUMIFS('DATA INPUT'!$E$3:$E$3000,'DATA INPUT'!$B$3:$B$3000,'Report Tables'!AC$1,'DATA INPUT'!$A$3:$A$3000,"&gt;="&amp;DATE(2023,6,1),'DATA INPUT'!$A$3:$A$3000,"&lt;"&amp;DATE(2023,6,31),'DATA INPUT'!$F$3:$F$3000,"&lt;&gt;*Exclude*")=0,#N/A,(SUMIFS('DATA INPUT'!$E$3:$E$3000,'DATA INPUT'!$B$3:$B$3000,'Report Tables'!AC$1,'DATA INPUT'!$A$3:$A$3000,"&gt;="&amp;DATE(2023,6,1),'DATA INPUT'!$A$3:$A$3000,"&lt;"&amp;DATE(2023,6,31),'DATA INPUT'!$F$3:$F$3000,"&lt;&gt;*Exclude*"))))</f>
        <v>#N/A</v>
      </c>
      <c r="AD80" s="136" t="e">
        <f>IF($L$2="Yes",IF(SUMIFS('DATA INPUT'!$E$3:$E$3000,'DATA INPUT'!$B$3:$B$3000,'Report Tables'!AD$1,'DATA INPUT'!$A$3:$A$3000,"&gt;="&amp;DATE(2023,6,1),'DATA INPUT'!$A$3:$A$3000,"&lt;"&amp;DATE(2023,6,31))=0,#N/A,(SUMIFS('DATA INPUT'!$E$3:$E$3000,'DATA INPUT'!$B$3:$B$3000,'Report Tables'!AD$1,'DATA INPUT'!$A$3:$A$3000,"&gt;="&amp;DATE(2023,6,1),'DATA INPUT'!$A$3:$A$3000,"&lt;"&amp;DATE(2023,6,31)))),IF(SUMIFS('DATA INPUT'!$E$3:$E$3000,'DATA INPUT'!$B$3:$B$3000,'Report Tables'!AD$1,'DATA INPUT'!$A$3:$A$3000,"&gt;="&amp;DATE(2023,6,1),'DATA INPUT'!$A$3:$A$3000,"&lt;"&amp;DATE(2023,6,31),'DATA INPUT'!$F$3:$F$3000,"&lt;&gt;*Exclude*")=0,#N/A,(SUMIFS('DATA INPUT'!$E$3:$E$3000,'DATA INPUT'!$B$3:$B$3000,'Report Tables'!AD$1,'DATA INPUT'!$A$3:$A$3000,"&gt;="&amp;DATE(2023,6,1),'DATA INPUT'!$A$3:$A$3000,"&lt;"&amp;DATE(2023,6,31),'DATA INPUT'!$F$3:$F$3000,"&lt;&gt;*Exclude*"))))</f>
        <v>#N/A</v>
      </c>
      <c r="AE80" s="136" t="e">
        <f>IF($L$2="Yes",IF(SUMIFS('DATA INPUT'!$E$3:$E$3000,'DATA INPUT'!$B$3:$B$3000,'Report Tables'!AE$1,'DATA INPUT'!$A$3:$A$3000,"&gt;="&amp;DATE(2023,6,1),'DATA INPUT'!$A$3:$A$3000,"&lt;"&amp;DATE(2023,6,31))=0,#N/A,(SUMIFS('DATA INPUT'!$E$3:$E$3000,'DATA INPUT'!$B$3:$B$3000,'Report Tables'!AE$1,'DATA INPUT'!$A$3:$A$3000,"&gt;="&amp;DATE(2023,6,1),'DATA INPUT'!$A$3:$A$3000,"&lt;"&amp;DATE(2023,6,31)))),IF(SUMIFS('DATA INPUT'!$E$3:$E$3000,'DATA INPUT'!$B$3:$B$3000,'Report Tables'!AE$1,'DATA INPUT'!$A$3:$A$3000,"&gt;="&amp;DATE(2023,6,1),'DATA INPUT'!$A$3:$A$3000,"&lt;"&amp;DATE(2023,6,31),'DATA INPUT'!$F$3:$F$3000,"&lt;&gt;*Exclude*")=0,#N/A,(SUMIFS('DATA INPUT'!$E$3:$E$3000,'DATA INPUT'!$B$3:$B$3000,'Report Tables'!AE$1,'DATA INPUT'!$A$3:$A$3000,"&gt;="&amp;DATE(2023,6,1),'DATA INPUT'!$A$3:$A$3000,"&lt;"&amp;DATE(2023,6,31),'DATA INPUT'!$F$3:$F$3000,"&lt;&gt;*Exclude*"))))</f>
        <v>#N/A</v>
      </c>
      <c r="AF80" s="136" t="e">
        <f>IF($L$2="Yes",IF(SUMIFS('DATA INPUT'!$E$3:$E$3000,'DATA INPUT'!$B$3:$B$3000,'Report Tables'!AF$1,'DATA INPUT'!$A$3:$A$3000,"&gt;="&amp;DATE(2023,6,1),'DATA INPUT'!$A$3:$A$3000,"&lt;"&amp;DATE(2023,6,31))=0,#N/A,(SUMIFS('DATA INPUT'!$E$3:$E$3000,'DATA INPUT'!$B$3:$B$3000,'Report Tables'!AF$1,'DATA INPUT'!$A$3:$A$3000,"&gt;="&amp;DATE(2023,6,1),'DATA INPUT'!$A$3:$A$3000,"&lt;"&amp;DATE(2023,6,31)))),IF(SUMIFS('DATA INPUT'!$E$3:$E$3000,'DATA INPUT'!$B$3:$B$3000,'Report Tables'!AF$1,'DATA INPUT'!$A$3:$A$3000,"&gt;="&amp;DATE(2023,6,1),'DATA INPUT'!$A$3:$A$3000,"&lt;"&amp;DATE(2023,6,31),'DATA INPUT'!$F$3:$F$3000,"&lt;&gt;*Exclude*")=0,#N/A,(SUMIFS('DATA INPUT'!$E$3:$E$3000,'DATA INPUT'!$B$3:$B$3000,'Report Tables'!AF$1,'DATA INPUT'!$A$3:$A$3000,"&gt;="&amp;DATE(2023,6,1),'DATA INPUT'!$A$3:$A$3000,"&lt;"&amp;DATE(2023,6,31),'DATA INPUT'!$F$3:$F$3000,"&lt;&gt;*Exclude*"))))</f>
        <v>#N/A</v>
      </c>
      <c r="AG80" s="136" t="e">
        <f>IF($L$2="Yes",IF(SUMIFS('DATA INPUT'!$E$3:$E$3000,'DATA INPUT'!$B$3:$B$3000,'Report Tables'!AG$1,'DATA INPUT'!$A$3:$A$3000,"&gt;="&amp;DATE(2023,6,1),'DATA INPUT'!$A$3:$A$3000,"&lt;"&amp;DATE(2023,6,31))=0,#N/A,(SUMIFS('DATA INPUT'!$E$3:$E$3000,'DATA INPUT'!$B$3:$B$3000,'Report Tables'!AG$1,'DATA INPUT'!$A$3:$A$3000,"&gt;="&amp;DATE(2023,6,1),'DATA INPUT'!$A$3:$A$3000,"&lt;"&amp;DATE(2023,6,31)))),IF(SUMIFS('DATA INPUT'!$E$3:$E$3000,'DATA INPUT'!$B$3:$B$3000,'Report Tables'!AG$1,'DATA INPUT'!$A$3:$A$3000,"&gt;="&amp;DATE(2023,6,1),'DATA INPUT'!$A$3:$A$3000,"&lt;"&amp;DATE(2023,6,31),'DATA INPUT'!$F$3:$F$3000,"&lt;&gt;*Exclude*")=0,#N/A,(SUMIFS('DATA INPUT'!$E$3:$E$3000,'DATA INPUT'!$B$3:$B$3000,'Report Tables'!AG$1,'DATA INPUT'!$A$3:$A$3000,"&gt;="&amp;DATE(2023,6,1),'DATA INPUT'!$A$3:$A$3000,"&lt;"&amp;DATE(2023,6,31),'DATA INPUT'!$F$3:$F$3000,"&lt;&gt;*Exclude*"))))</f>
        <v>#N/A</v>
      </c>
      <c r="AH80" s="136" t="e">
        <f>IF($L$2="Yes",IF(SUMIFS('DATA INPUT'!$E$3:$E$3000,'DATA INPUT'!$B$3:$B$3000,'Report Tables'!AH$1,'DATA INPUT'!$A$3:$A$3000,"&gt;="&amp;DATE(2023,6,1),'DATA INPUT'!$A$3:$A$3000,"&lt;"&amp;DATE(2023,6,31))=0,#N/A,(SUMIFS('DATA INPUT'!$E$3:$E$3000,'DATA INPUT'!$B$3:$B$3000,'Report Tables'!AH$1,'DATA INPUT'!$A$3:$A$3000,"&gt;="&amp;DATE(2023,6,1),'DATA INPUT'!$A$3:$A$3000,"&lt;"&amp;DATE(2023,6,31)))),IF(SUMIFS('DATA INPUT'!$E$3:$E$3000,'DATA INPUT'!$B$3:$B$3000,'Report Tables'!AH$1,'DATA INPUT'!$A$3:$A$3000,"&gt;="&amp;DATE(2023,6,1),'DATA INPUT'!$A$3:$A$3000,"&lt;"&amp;DATE(2023,6,31),'DATA INPUT'!$F$3:$F$3000,"&lt;&gt;*Exclude*")=0,#N/A,(SUMIFS('DATA INPUT'!$E$3:$E$3000,'DATA INPUT'!$B$3:$B$3000,'Report Tables'!AH$1,'DATA INPUT'!$A$3:$A$3000,"&gt;="&amp;DATE(2023,6,1),'DATA INPUT'!$A$3:$A$3000,"&lt;"&amp;DATE(2023,6,31),'DATA INPUT'!$F$3:$F$3000,"&lt;&gt;*Exclude*"))))</f>
        <v>#N/A</v>
      </c>
      <c r="AI80" s="136" t="e">
        <f t="shared" si="23"/>
        <v>#N/A</v>
      </c>
      <c r="AJ80" s="136" t="e">
        <f>IF($L$2="Yes",IF(SUMIFS('DATA INPUT'!$D$3:$D$3000,'DATA INPUT'!$A$3:$A$3000,"&gt;="&amp;DATE(2023,6,1),'DATA INPUT'!$A$3:$A$3000,"&lt;"&amp;DATE(2023,6,31),'DATA INPUT'!$G$3:$G$3000,"&lt;&gt;*School service*")=0,#N/A,(SUMIFS('DATA INPUT'!$D$3:$D$3000,'DATA INPUT'!$A$3:$A$3000,"&gt;="&amp;DATE(2023,6,1),'DATA INPUT'!$A$3:$A$3000,"&lt;"&amp;DATE(2023,6,31),'DATA INPUT'!$G$3:$G$3000,"&lt;&gt;*School service*"))),IF(SUMIFS('DATA INPUT'!$D$3:$D$3000,'DATA INPUT'!$A$3:$A$3000,"&gt;="&amp;DATE(2023,6,1),'DATA INPUT'!$A$3:$A$3000,"&lt;"&amp;DATE(2023,6,31),'DATA INPUT'!$F$3:$F$3000,"&lt;&gt;*Exclude*",'DATA INPUT'!$G$3:$G$3000,"&lt;&gt;*School service*")=0,#N/A,(SUMIFS('DATA INPUT'!$D$3:$D$3000,'DATA INPUT'!$A$3:$A$3000,"&gt;="&amp;DATE(2023,6,1),'DATA INPUT'!$A$3:$A$3000,"&lt;"&amp;DATE(2023,6,31),'DATA INPUT'!$F$3:$F$3000,"&lt;&gt;*Exclude*",'DATA INPUT'!$G$3:$G$3000,"&lt;&gt;*School service*"))))</f>
        <v>#N/A</v>
      </c>
      <c r="AK80" s="136" t="e">
        <f>AI80-AJ80</f>
        <v>#N/A</v>
      </c>
      <c r="AM80" s="117" t="e">
        <f>IF($L$2="Yes",IFERROR((SUMIFS('DATA INPUT'!$E$3:$E$3000,'DATA INPUT'!$B$3:$B$3000,'Report Tables'!AM$1,'DATA INPUT'!$A$3:$A$3000,"&gt;="&amp;DATE(2023,6,1),'DATA INPUT'!$A$3:$A$3000,"&lt;"&amp;DATE(2023,6,31)))/COUNTIFS('DATA INPUT'!$B$3:$B$3000,'Report Tables'!AM$1,'DATA INPUT'!$A$3:$A$3000,"&gt;="&amp;DATE(2023,6,1),'DATA INPUT'!$A$3:$A$3000,"&lt;"&amp;DATE(2023,6,31)),#N/A),IFERROR((SUMIFS('DATA INPUT'!$E$3:$E$3000,'DATA INPUT'!$B$3:$B$3000,'Report Tables'!AM$1,'DATA INPUT'!$A$3:$A$3000,"&gt;="&amp;DATE(2023,6,1),'DATA INPUT'!$A$3:$A$3000,"&lt;"&amp;DATE(2023,6,31),'DATA INPUT'!$F$3:$F$3000,"&lt;&gt;*Exclude*"))/(COUNTIFS('DATA INPUT'!$B$3:$B$3000,'Report Tables'!AM$1,'DATA INPUT'!$A$3:$A$3000,"&gt;="&amp;DATE(2023,6,1),'DATA INPUT'!$A$3:$A$3000,"&lt;"&amp;DATE(2023,6,31),'DATA INPUT'!$F$3:$F$3000,"&lt;&gt;*Exclude*")),#N/A))</f>
        <v>#N/A</v>
      </c>
      <c r="AN80" s="117" t="e">
        <f>IF($L$2="Yes",IFERROR((SUMIFS('DATA INPUT'!$E$3:$E$3000,'DATA INPUT'!$B$3:$B$3000,'Report Tables'!AN$1,'DATA INPUT'!$A$3:$A$3000,"&gt;="&amp;DATE(2023,6,1),'DATA INPUT'!$A$3:$A$3000,"&lt;"&amp;DATE(2023,6,31)))/COUNTIFS('DATA INPUT'!$B$3:$B$3000,'Report Tables'!AN$1,'DATA INPUT'!$A$3:$A$3000,"&gt;="&amp;DATE(2023,6,1),'DATA INPUT'!$A$3:$A$3000,"&lt;"&amp;DATE(2023,6,31)),#N/A),IFERROR((SUMIFS('DATA INPUT'!$E$3:$E$3000,'DATA INPUT'!$B$3:$B$3000,'Report Tables'!AN$1,'DATA INPUT'!$A$3:$A$3000,"&gt;="&amp;DATE(2023,6,1),'DATA INPUT'!$A$3:$A$3000,"&lt;"&amp;DATE(2023,6,31),'DATA INPUT'!$F$3:$F$3000,"&lt;&gt;*Exclude*"))/(COUNTIFS('DATA INPUT'!$B$3:$B$3000,'Report Tables'!AN$1,'DATA INPUT'!$A$3:$A$3000,"&gt;="&amp;DATE(2023,6,1),'DATA INPUT'!$A$3:$A$3000,"&lt;"&amp;DATE(2023,6,31),'DATA INPUT'!$F$3:$F$3000,"&lt;&gt;*Exclude*")),#N/A))</f>
        <v>#N/A</v>
      </c>
      <c r="AO80" s="117" t="e">
        <f>IF($L$2="Yes",IFERROR((SUMIFS('DATA INPUT'!$E$3:$E$3000,'DATA INPUT'!$B$3:$B$3000,'Report Tables'!AO$1,'DATA INPUT'!$A$3:$A$3000,"&gt;="&amp;DATE(2023,6,1),'DATA INPUT'!$A$3:$A$3000,"&lt;"&amp;DATE(2023,6,31)))/COUNTIFS('DATA INPUT'!$B$3:$B$3000,'Report Tables'!AO$1,'DATA INPUT'!$A$3:$A$3000,"&gt;="&amp;DATE(2023,6,1),'DATA INPUT'!$A$3:$A$3000,"&lt;"&amp;DATE(2023,6,31)),#N/A),IFERROR((SUMIFS('DATA INPUT'!$E$3:$E$3000,'DATA INPUT'!$B$3:$B$3000,'Report Tables'!AO$1,'DATA INPUT'!$A$3:$A$3000,"&gt;="&amp;DATE(2023,6,1),'DATA INPUT'!$A$3:$A$3000,"&lt;"&amp;DATE(2023,6,31),'DATA INPUT'!$F$3:$F$3000,"&lt;&gt;*Exclude*"))/(COUNTIFS('DATA INPUT'!$B$3:$B$3000,'Report Tables'!AO$1,'DATA INPUT'!$A$3:$A$3000,"&gt;="&amp;DATE(2023,6,1),'DATA INPUT'!$A$3:$A$3000,"&lt;"&amp;DATE(2023,6,31),'DATA INPUT'!$F$3:$F$3000,"&lt;&gt;*Exclude*")),#N/A))</f>
        <v>#N/A</v>
      </c>
      <c r="AP80" s="117" t="e">
        <f>IF($L$2="Yes",IFERROR((SUMIFS('DATA INPUT'!$E$3:$E$3000,'DATA INPUT'!$B$3:$B$3000,'Report Tables'!AP$1,'DATA INPUT'!$A$3:$A$3000,"&gt;="&amp;DATE(2023,6,1),'DATA INPUT'!$A$3:$A$3000,"&lt;"&amp;DATE(2023,6,31)))/COUNTIFS('DATA INPUT'!$B$3:$B$3000,'Report Tables'!AP$1,'DATA INPUT'!$A$3:$A$3000,"&gt;="&amp;DATE(2023,6,1),'DATA INPUT'!$A$3:$A$3000,"&lt;"&amp;DATE(2023,6,31)),#N/A),IFERROR((SUMIFS('DATA INPUT'!$E$3:$E$3000,'DATA INPUT'!$B$3:$B$3000,'Report Tables'!AP$1,'DATA INPUT'!$A$3:$A$3000,"&gt;="&amp;DATE(2023,6,1),'DATA INPUT'!$A$3:$A$3000,"&lt;"&amp;DATE(2023,6,31),'DATA INPUT'!$F$3:$F$3000,"&lt;&gt;*Exclude*"))/(COUNTIFS('DATA INPUT'!$B$3:$B$3000,'Report Tables'!AP$1,'DATA INPUT'!$A$3:$A$3000,"&gt;="&amp;DATE(2023,6,1),'DATA INPUT'!$A$3:$A$3000,"&lt;"&amp;DATE(2023,6,31),'DATA INPUT'!$F$3:$F$3000,"&lt;&gt;*Exclude*")),#N/A))</f>
        <v>#N/A</v>
      </c>
      <c r="AQ80" s="117" t="e">
        <f>IF($L$2="Yes",IFERROR((SUMIFS('DATA INPUT'!$E$3:$E$3000,'DATA INPUT'!$B$3:$B$3000,'Report Tables'!AQ$1,'DATA INPUT'!$A$3:$A$3000,"&gt;="&amp;DATE(2023,6,1),'DATA INPUT'!$A$3:$A$3000,"&lt;"&amp;DATE(2023,6,31)))/COUNTIFS('DATA INPUT'!$B$3:$B$3000,'Report Tables'!AQ$1,'DATA INPUT'!$A$3:$A$3000,"&gt;="&amp;DATE(2023,6,1),'DATA INPUT'!$A$3:$A$3000,"&lt;"&amp;DATE(2023,6,31)),#N/A),IFERROR((SUMIFS('DATA INPUT'!$E$3:$E$3000,'DATA INPUT'!$B$3:$B$3000,'Report Tables'!AQ$1,'DATA INPUT'!$A$3:$A$3000,"&gt;="&amp;DATE(2023,6,1),'DATA INPUT'!$A$3:$A$3000,"&lt;"&amp;DATE(2023,6,31),'DATA INPUT'!$F$3:$F$3000,"&lt;&gt;*Exclude*"))/(COUNTIFS('DATA INPUT'!$B$3:$B$3000,'Report Tables'!AQ$1,'DATA INPUT'!$A$3:$A$3000,"&gt;="&amp;DATE(2023,6,1),'DATA INPUT'!$A$3:$A$3000,"&lt;"&amp;DATE(2023,6,31),'DATA INPUT'!$F$3:$F$3000,"&lt;&gt;*Exclude*")),#N/A))</f>
        <v>#N/A</v>
      </c>
      <c r="AR80" s="117" t="e">
        <f>IF($L$2="Yes",IFERROR((SUMIFS('DATA INPUT'!$E$3:$E$3000,'DATA INPUT'!$B$3:$B$3000,'Report Tables'!AR$1,'DATA INPUT'!$A$3:$A$3000,"&gt;="&amp;DATE(2023,6,1),'DATA INPUT'!$A$3:$A$3000,"&lt;"&amp;DATE(2023,6,31)))/COUNTIFS('DATA INPUT'!$B$3:$B$3000,'Report Tables'!AR$1,'DATA INPUT'!$A$3:$A$3000,"&gt;="&amp;DATE(2023,6,1),'DATA INPUT'!$A$3:$A$3000,"&lt;"&amp;DATE(2023,6,31)),#N/A),IFERROR((SUMIFS('DATA INPUT'!$E$3:$E$3000,'DATA INPUT'!$B$3:$B$3000,'Report Tables'!AR$1,'DATA INPUT'!$A$3:$A$3000,"&gt;="&amp;DATE(2023,6,1),'DATA INPUT'!$A$3:$A$3000,"&lt;"&amp;DATE(2023,6,31),'DATA INPUT'!$F$3:$F$3000,"&lt;&gt;*Exclude*"))/(COUNTIFS('DATA INPUT'!$B$3:$B$3000,'Report Tables'!AR$1,'DATA INPUT'!$A$3:$A$3000,"&gt;="&amp;DATE(2023,6,1),'DATA INPUT'!$A$3:$A$3000,"&lt;"&amp;DATE(2023,6,31),'DATA INPUT'!$F$3:$F$3000,"&lt;&gt;*Exclude*")),#N/A))</f>
        <v>#N/A</v>
      </c>
      <c r="AS80" s="117" t="e">
        <f>IF($L$2="Yes",IFERROR((SUMIFS('DATA INPUT'!$E$3:$E$3000,'DATA INPUT'!$B$3:$B$3000,'Report Tables'!AS$1,'DATA INPUT'!$A$3:$A$3000,"&gt;="&amp;DATE(2023,6,1),'DATA INPUT'!$A$3:$A$3000,"&lt;"&amp;DATE(2023,6,31)))/COUNTIFS('DATA INPUT'!$B$3:$B$3000,'Report Tables'!AS$1,'DATA INPUT'!$A$3:$A$3000,"&gt;="&amp;DATE(2023,6,1),'DATA INPUT'!$A$3:$A$3000,"&lt;"&amp;DATE(2023,6,31)),#N/A),IFERROR((SUMIFS('DATA INPUT'!$E$3:$E$3000,'DATA INPUT'!$B$3:$B$3000,'Report Tables'!AS$1,'DATA INPUT'!$A$3:$A$3000,"&gt;="&amp;DATE(2023,6,1),'DATA INPUT'!$A$3:$A$3000,"&lt;"&amp;DATE(2023,6,31),'DATA INPUT'!$F$3:$F$3000,"&lt;&gt;*Exclude*"))/(COUNTIFS('DATA INPUT'!$B$3:$B$3000,'Report Tables'!AS$1,'DATA INPUT'!$A$3:$A$3000,"&gt;="&amp;DATE(2023,6,1),'DATA INPUT'!$A$3:$A$3000,"&lt;"&amp;DATE(2023,6,31),'DATA INPUT'!$F$3:$F$3000,"&lt;&gt;*Exclude*")),#N/A))</f>
        <v>#N/A</v>
      </c>
      <c r="AT80" s="117" t="e">
        <f>IF($L$2="Yes",IFERROR((SUMIFS('DATA INPUT'!$E$3:$E$3000,'DATA INPUT'!$B$3:$B$3000,'Report Tables'!AT$1,'DATA INPUT'!$A$3:$A$3000,"&gt;="&amp;DATE(2023,6,1),'DATA INPUT'!$A$3:$A$3000,"&lt;"&amp;DATE(2023,6,31)))/COUNTIFS('DATA INPUT'!$B$3:$B$3000,'Report Tables'!AT$1,'DATA INPUT'!$A$3:$A$3000,"&gt;="&amp;DATE(2023,6,1),'DATA INPUT'!$A$3:$A$3000,"&lt;"&amp;DATE(2023,6,31)),#N/A),IFERROR((SUMIFS('DATA INPUT'!$E$3:$E$3000,'DATA INPUT'!$B$3:$B$3000,'Report Tables'!AT$1,'DATA INPUT'!$A$3:$A$3000,"&gt;="&amp;DATE(2023,6,1),'DATA INPUT'!$A$3:$A$3000,"&lt;"&amp;DATE(2023,6,31),'DATA INPUT'!$F$3:$F$3000,"&lt;&gt;*Exclude*"))/(COUNTIFS('DATA INPUT'!$B$3:$B$3000,'Report Tables'!AT$1,'DATA INPUT'!$A$3:$A$3000,"&gt;="&amp;DATE(2023,6,1),'DATA INPUT'!$A$3:$A$3000,"&lt;"&amp;DATE(2023,6,31),'DATA INPUT'!$F$3:$F$3000,"&lt;&gt;*Exclude*")),#N/A))</f>
        <v>#N/A</v>
      </c>
      <c r="AU80" s="117" t="e">
        <f t="shared" si="24"/>
        <v>#N/A</v>
      </c>
      <c r="AV80" s="117" t="e">
        <f>IF($L$2="Yes",IFERROR((SUMIFS('DATA INPUT'!$D$3:$D$3000,'DATA INPUT'!$A$3:$A$3000,"&gt;="&amp;DATE(2023,6,1),'DATA INPUT'!$A$3:$A$3000,"&lt;"&amp;DATE(2023,6,31),'DATA INPUT'!$G$3:$G$3000,"&lt;&gt;*School service*"))/COUNTIFS('DATA INPUT'!$A$3:$A$3000,"&gt;="&amp;DATE(2023,6,1),'DATA INPUT'!$A$3:$A$3000,"&lt;"&amp;DATE(2023,6,31),'DATA INPUT'!$G$3:$G$3000,"&lt;&gt;*School service*",'DATA INPUT'!$D$3:$D$3000,"&lt;&gt;"&amp;""),#N/A),IFERROR((SUMIFS('DATA INPUT'!$D$3:$D$3000,'DATA INPUT'!$A$3:$A$3000,"&gt;="&amp;DATE(2023,6,1),'DATA INPUT'!$A$3:$A$3000,"&lt;"&amp;DATE(2023,6,31),'DATA INPUT'!$F$3:$F$3000,"&lt;&gt;*Exclude*",'DATA INPUT'!$G$3:$G$3000,"&lt;&gt;*School service*"))/(COUNTIFS('DATA INPUT'!$A$3:$A$3000,"&gt;="&amp;DATE(2023,6,1),'DATA INPUT'!$A$3:$A$3000,"&lt;"&amp;DATE(2023,6,31),'DATA INPUT'!$F$3:$F$3000,"&lt;&gt;*Exclude*",'DATA INPUT'!$G$3:$G$3000,"&lt;&gt;*School service*",'DATA INPUT'!$D$3:$D$3000,"&lt;&gt;"&amp;"")),#N/A))</f>
        <v>#N/A</v>
      </c>
      <c r="AW80" s="117" t="e">
        <f t="shared" si="25"/>
        <v>#N/A</v>
      </c>
      <c r="AX80" s="117" t="e">
        <f>IF($L$2="Yes",IFERROR((SUMIFS('DATA INPUT'!$E$3:$E$3000,'DATA INPUT'!$B$3:$B$3000,'Report Tables'!AX$1,'DATA INPUT'!$A$3:$A$3000,"&gt;="&amp;DATE(2023,6,1),'DATA INPUT'!$A$3:$A$3000,"&lt;"&amp;DATE(2023,6,31)))/COUNTIFS('DATA INPUT'!$B$3:$B$3000,'Report Tables'!AX$1,'DATA INPUT'!$A$3:$A$3000,"&gt;="&amp;DATE(2023,6,1),'DATA INPUT'!$A$3:$A$3000,"&lt;"&amp;DATE(2023,6,31)),#N/A),IFERROR((SUMIFS('DATA INPUT'!$E$3:$E$3000,'DATA INPUT'!$B$3:$B$3000,'Report Tables'!AX$1,'DATA INPUT'!$A$3:$A$3000,"&gt;="&amp;DATE(2023,6,1),'DATA INPUT'!$A$3:$A$3000,"&lt;"&amp;DATE(2023,6,31),'DATA INPUT'!$F$3:$F$3000,"&lt;&gt;*Exclude*"))/(COUNTIFS('DATA INPUT'!$B$3:$B$3000,'Report Tables'!AX$1,'DATA INPUT'!$A$3:$A$3000,"&gt;="&amp;DATE(2023,6,1),'DATA INPUT'!$A$3:$A$3000,"&lt;"&amp;DATE(2023,6,31),'DATA INPUT'!$F$3:$F$3000,"&lt;&gt;*Exclude*")),#N/A))</f>
        <v>#N/A</v>
      </c>
      <c r="AY80" s="117" t="e">
        <f>IF($L$2="Yes",IFERROR((SUMIFS('DATA INPUT'!$D$3:$D$3000,'DATA INPUT'!$B$3:$B$3000,'Report Tables'!AX$1,'DATA INPUT'!$A$3:$A$3000,"&gt;="&amp;DATE(2023,6,1),'DATA INPUT'!$A$3:$A$3000,"&lt;"&amp;DATE(2023,6,31)))/COUNTIFS('DATA INPUT'!$B$3:$B$3000,'Report Tables'!AX$1,'DATA INPUT'!$A$3:$A$3000,"&gt;="&amp;DATE(2023,6,1),'DATA INPUT'!$A$3:$A$3000,"&lt;"&amp;DATE(2023,6,31)),#N/A),IFERROR((SUMIFS('DATA INPUT'!$D$3:$D$3000,'DATA INPUT'!$B$3:$B$3000,'Report Tables'!AX$1,'DATA INPUT'!$A$3:$A$3000,"&gt;="&amp;DATE(2023,6,1),'DATA INPUT'!$A$3:$A$3000,"&lt;"&amp;DATE(2023,6,31),'DATA INPUT'!$F$3:$F$3000,"&lt;&gt;*Exclude*"))/(COUNTIFS('DATA INPUT'!$B$3:$B$3000,'Report Tables'!AX$1,'DATA INPUT'!$A$3:$A$3000,"&gt;="&amp;DATE(2023,6,1),'DATA INPUT'!$A$3:$A$3000,"&lt;"&amp;DATE(2023,6,31),'DATA INPUT'!$F$3:$F$3000,"&lt;&gt;*Exclude*")),#N/A))</f>
        <v>#N/A</v>
      </c>
      <c r="AZ80" s="117" t="e">
        <f>IF($L$2="Yes",IFERROR((SUMIFS('DATA INPUT'!$C$3:$C$3000,'DATA INPUT'!$B$3:$B$3000,'Report Tables'!AX$1,'DATA INPUT'!$A$3:$A$3000,"&gt;="&amp;DATE(2023,6,1),'DATA INPUT'!$A$3:$A$3000,"&lt;"&amp;DATE(2023,6,31)))/COUNTIFS('DATA INPUT'!$B$3:$B$3000,'Report Tables'!AX$1,'DATA INPUT'!$A$3:$A$3000,"&gt;="&amp;DATE(2023,6,1),'DATA INPUT'!$A$3:$A$3000,"&lt;"&amp;DATE(2023,6,31)),#N/A),IFERROR((SUMIFS('DATA INPUT'!$C$3:$C$3000,'DATA INPUT'!$B$3:$B$3000,'Report Tables'!AX$1,'DATA INPUT'!$A$3:$A$3000,"&gt;="&amp;DATE(2023,6,1),'DATA INPUT'!$A$3:$A$3000,"&lt;"&amp;DATE(2023,6,31),'DATA INPUT'!$F$3:$F$3000,"&lt;&gt;*Exclude*"))/(COUNTIFS('DATA INPUT'!$B$3:$B$3000,'Report Tables'!AX$1,'DATA INPUT'!$A$3:$A$3000,"&gt;="&amp;DATE(2023,6,1),'DATA INPUT'!$A$3:$A$3000,"&lt;"&amp;DATE(2023,6,31),'DATA INPUT'!$F$3:$F$3000,"&lt;&gt;*Exclude*")),#N/A))</f>
        <v>#N/A</v>
      </c>
    </row>
    <row r="81" spans="25:52" x14ac:dyDescent="0.3">
      <c r="Y81" s="149"/>
      <c r="Z81" s="149" t="s">
        <v>18</v>
      </c>
      <c r="AA81" s="136" t="e">
        <f>IF($L$2="Yes",IF(SUMIFS('DATA INPUT'!$E$3:$E$3000,'DATA INPUT'!$B$3:$B$3000,'Report Tables'!AA$1,'DATA INPUT'!$A$3:$A$3000,"&gt;="&amp;DATE(2023,7,1),'DATA INPUT'!$A$3:$A$3000,"&lt;"&amp;DATE(2023,7,31))=0,#N/A,(SUMIFS('DATA INPUT'!$E$3:$E$3000,'DATA INPUT'!$B$3:$B$3000,'Report Tables'!AA$1,'DATA INPUT'!$A$3:$A$3000,"&gt;="&amp;DATE(2023,7,1),'DATA INPUT'!$A$3:$A$3000,"&lt;"&amp;DATE(2023,7,31)))),IF(SUMIFS('DATA INPUT'!$E$3:$E$3000,'DATA INPUT'!$B$3:$B$3000,'Report Tables'!AA$1,'DATA INPUT'!$A$3:$A$3000,"&gt;="&amp;DATE(2023,7,1),'DATA INPUT'!$A$3:$A$3000,"&lt;"&amp;DATE(2023,7,31),'DATA INPUT'!$F$3:$F$3000,"&lt;&gt;*Exclude*")=0,#N/A,(SUMIFS('DATA INPUT'!$E$3:$E$3000,'DATA INPUT'!$B$3:$B$3000,'Report Tables'!AA$1,'DATA INPUT'!$A$3:$A$3000,"&gt;="&amp;DATE(2023,7,1),'DATA INPUT'!$A$3:$A$3000,"&lt;"&amp;DATE(2023,7,31),'DATA INPUT'!$F$3:$F$3000,"&lt;&gt;*Exclude*"))))</f>
        <v>#N/A</v>
      </c>
      <c r="AB81" s="136" t="e">
        <f>IF($L$2="Yes",IF(SUMIFS('DATA INPUT'!$E$3:$E$3000,'DATA INPUT'!$B$3:$B$3000,'Report Tables'!AB$1,'DATA INPUT'!$A$3:$A$3000,"&gt;="&amp;DATE(2023,7,1),'DATA INPUT'!$A$3:$A$3000,"&lt;"&amp;DATE(2023,7,31))=0,#N/A,(SUMIFS('DATA INPUT'!$E$3:$E$3000,'DATA INPUT'!$B$3:$B$3000,'Report Tables'!AB$1,'DATA INPUT'!$A$3:$A$3000,"&gt;="&amp;DATE(2023,7,1),'DATA INPUT'!$A$3:$A$3000,"&lt;"&amp;DATE(2023,7,31)))),IF(SUMIFS('DATA INPUT'!$E$3:$E$3000,'DATA INPUT'!$B$3:$B$3000,'Report Tables'!AB$1,'DATA INPUT'!$A$3:$A$3000,"&gt;="&amp;DATE(2023,7,1),'DATA INPUT'!$A$3:$A$3000,"&lt;"&amp;DATE(2023,7,31),'DATA INPUT'!$F$3:$F$3000,"&lt;&gt;*Exclude*")=0,#N/A,(SUMIFS('DATA INPUT'!$E$3:$E$3000,'DATA INPUT'!$B$3:$B$3000,'Report Tables'!AB$1,'DATA INPUT'!$A$3:$A$3000,"&gt;="&amp;DATE(2023,7,1),'DATA INPUT'!$A$3:$A$3000,"&lt;"&amp;DATE(2023,7,31),'DATA INPUT'!$F$3:$F$3000,"&lt;&gt;*Exclude*"))))</f>
        <v>#N/A</v>
      </c>
      <c r="AC81" s="136" t="e">
        <f>IF($L$2="Yes",IF(SUMIFS('DATA INPUT'!$E$3:$E$3000,'DATA INPUT'!$B$3:$B$3000,'Report Tables'!AC$1,'DATA INPUT'!$A$3:$A$3000,"&gt;="&amp;DATE(2023,7,1),'DATA INPUT'!$A$3:$A$3000,"&lt;"&amp;DATE(2023,7,31))=0,#N/A,(SUMIFS('DATA INPUT'!$E$3:$E$3000,'DATA INPUT'!$B$3:$B$3000,'Report Tables'!AC$1,'DATA INPUT'!$A$3:$A$3000,"&gt;="&amp;DATE(2023,7,1),'DATA INPUT'!$A$3:$A$3000,"&lt;"&amp;DATE(2023,7,31)))),IF(SUMIFS('DATA INPUT'!$E$3:$E$3000,'DATA INPUT'!$B$3:$B$3000,'Report Tables'!AC$1,'DATA INPUT'!$A$3:$A$3000,"&gt;="&amp;DATE(2023,7,1),'DATA INPUT'!$A$3:$A$3000,"&lt;"&amp;DATE(2023,7,31),'DATA INPUT'!$F$3:$F$3000,"&lt;&gt;*Exclude*")=0,#N/A,(SUMIFS('DATA INPUT'!$E$3:$E$3000,'DATA INPUT'!$B$3:$B$3000,'Report Tables'!AC$1,'DATA INPUT'!$A$3:$A$3000,"&gt;="&amp;DATE(2023,7,1),'DATA INPUT'!$A$3:$A$3000,"&lt;"&amp;DATE(2023,7,31),'DATA INPUT'!$F$3:$F$3000,"&lt;&gt;*Exclude*"))))</f>
        <v>#N/A</v>
      </c>
      <c r="AD81" s="136" t="e">
        <f>IF($L$2="Yes",IF(SUMIFS('DATA INPUT'!$E$3:$E$3000,'DATA INPUT'!$B$3:$B$3000,'Report Tables'!AD$1,'DATA INPUT'!$A$3:$A$3000,"&gt;="&amp;DATE(2023,7,1),'DATA INPUT'!$A$3:$A$3000,"&lt;"&amp;DATE(2023,7,31))=0,#N/A,(SUMIFS('DATA INPUT'!$E$3:$E$3000,'DATA INPUT'!$B$3:$B$3000,'Report Tables'!AD$1,'DATA INPUT'!$A$3:$A$3000,"&gt;="&amp;DATE(2023,7,1),'DATA INPUT'!$A$3:$A$3000,"&lt;"&amp;DATE(2023,7,31)))),IF(SUMIFS('DATA INPUT'!$E$3:$E$3000,'DATA INPUT'!$B$3:$B$3000,'Report Tables'!AD$1,'DATA INPUT'!$A$3:$A$3000,"&gt;="&amp;DATE(2023,7,1),'DATA INPUT'!$A$3:$A$3000,"&lt;"&amp;DATE(2023,7,31),'DATA INPUT'!$F$3:$F$3000,"&lt;&gt;*Exclude*")=0,#N/A,(SUMIFS('DATA INPUT'!$E$3:$E$3000,'DATA INPUT'!$B$3:$B$3000,'Report Tables'!AD$1,'DATA INPUT'!$A$3:$A$3000,"&gt;="&amp;DATE(2023,7,1),'DATA INPUT'!$A$3:$A$3000,"&lt;"&amp;DATE(2023,7,31),'DATA INPUT'!$F$3:$F$3000,"&lt;&gt;*Exclude*"))))</f>
        <v>#N/A</v>
      </c>
      <c r="AE81" s="136" t="e">
        <f>IF($L$2="Yes",IF(SUMIFS('DATA INPUT'!$E$3:$E$3000,'DATA INPUT'!$B$3:$B$3000,'Report Tables'!AE$1,'DATA INPUT'!$A$3:$A$3000,"&gt;="&amp;DATE(2023,7,1),'DATA INPUT'!$A$3:$A$3000,"&lt;"&amp;DATE(2023,7,31))=0,#N/A,(SUMIFS('DATA INPUT'!$E$3:$E$3000,'DATA INPUT'!$B$3:$B$3000,'Report Tables'!AE$1,'DATA INPUT'!$A$3:$A$3000,"&gt;="&amp;DATE(2023,7,1),'DATA INPUT'!$A$3:$A$3000,"&lt;"&amp;DATE(2023,7,31)))),IF(SUMIFS('DATA INPUT'!$E$3:$E$3000,'DATA INPUT'!$B$3:$B$3000,'Report Tables'!AE$1,'DATA INPUT'!$A$3:$A$3000,"&gt;="&amp;DATE(2023,7,1),'DATA INPUT'!$A$3:$A$3000,"&lt;"&amp;DATE(2023,7,31),'DATA INPUT'!$F$3:$F$3000,"&lt;&gt;*Exclude*")=0,#N/A,(SUMIFS('DATA INPUT'!$E$3:$E$3000,'DATA INPUT'!$B$3:$B$3000,'Report Tables'!AE$1,'DATA INPUT'!$A$3:$A$3000,"&gt;="&amp;DATE(2023,7,1),'DATA INPUT'!$A$3:$A$3000,"&lt;"&amp;DATE(2023,7,31),'DATA INPUT'!$F$3:$F$3000,"&lt;&gt;*Exclude*"))))</f>
        <v>#N/A</v>
      </c>
      <c r="AF81" s="136" t="e">
        <f>IF($L$2="Yes",IF(SUMIFS('DATA INPUT'!$E$3:$E$3000,'DATA INPUT'!$B$3:$B$3000,'Report Tables'!AF$1,'DATA INPUT'!$A$3:$A$3000,"&gt;="&amp;DATE(2023,7,1),'DATA INPUT'!$A$3:$A$3000,"&lt;"&amp;DATE(2023,7,31))=0,#N/A,(SUMIFS('DATA INPUT'!$E$3:$E$3000,'DATA INPUT'!$B$3:$B$3000,'Report Tables'!AF$1,'DATA INPUT'!$A$3:$A$3000,"&gt;="&amp;DATE(2023,7,1),'DATA INPUT'!$A$3:$A$3000,"&lt;"&amp;DATE(2023,7,31)))),IF(SUMIFS('DATA INPUT'!$E$3:$E$3000,'DATA INPUT'!$B$3:$B$3000,'Report Tables'!AF$1,'DATA INPUT'!$A$3:$A$3000,"&gt;="&amp;DATE(2023,7,1),'DATA INPUT'!$A$3:$A$3000,"&lt;"&amp;DATE(2023,7,31),'DATA INPUT'!$F$3:$F$3000,"&lt;&gt;*Exclude*")=0,#N/A,(SUMIFS('DATA INPUT'!$E$3:$E$3000,'DATA INPUT'!$B$3:$B$3000,'Report Tables'!AF$1,'DATA INPUT'!$A$3:$A$3000,"&gt;="&amp;DATE(2023,7,1),'DATA INPUT'!$A$3:$A$3000,"&lt;"&amp;DATE(2023,7,31),'DATA INPUT'!$F$3:$F$3000,"&lt;&gt;*Exclude*"))))</f>
        <v>#N/A</v>
      </c>
      <c r="AG81" s="136" t="e">
        <f>IF($L$2="Yes",IF(SUMIFS('DATA INPUT'!$E$3:$E$3000,'DATA INPUT'!$B$3:$B$3000,'Report Tables'!AG$1,'DATA INPUT'!$A$3:$A$3000,"&gt;="&amp;DATE(2023,7,1),'DATA INPUT'!$A$3:$A$3000,"&lt;"&amp;DATE(2023,7,31))=0,#N/A,(SUMIFS('DATA INPUT'!$E$3:$E$3000,'DATA INPUT'!$B$3:$B$3000,'Report Tables'!AG$1,'DATA INPUT'!$A$3:$A$3000,"&gt;="&amp;DATE(2023,7,1),'DATA INPUT'!$A$3:$A$3000,"&lt;"&amp;DATE(2023,7,31)))),IF(SUMIFS('DATA INPUT'!$E$3:$E$3000,'DATA INPUT'!$B$3:$B$3000,'Report Tables'!AG$1,'DATA INPUT'!$A$3:$A$3000,"&gt;="&amp;DATE(2023,7,1),'DATA INPUT'!$A$3:$A$3000,"&lt;"&amp;DATE(2023,7,31),'DATA INPUT'!$F$3:$F$3000,"&lt;&gt;*Exclude*")=0,#N/A,(SUMIFS('DATA INPUT'!$E$3:$E$3000,'DATA INPUT'!$B$3:$B$3000,'Report Tables'!AG$1,'DATA INPUT'!$A$3:$A$3000,"&gt;="&amp;DATE(2023,7,1),'DATA INPUT'!$A$3:$A$3000,"&lt;"&amp;DATE(2023,7,31),'DATA INPUT'!$F$3:$F$3000,"&lt;&gt;*Exclude*"))))</f>
        <v>#N/A</v>
      </c>
      <c r="AH81" s="136" t="e">
        <f>IF($L$2="Yes",IF(SUMIFS('DATA INPUT'!$E$3:$E$3000,'DATA INPUT'!$B$3:$B$3000,'Report Tables'!AH$1,'DATA INPUT'!$A$3:$A$3000,"&gt;="&amp;DATE(2023,7,1),'DATA INPUT'!$A$3:$A$3000,"&lt;"&amp;DATE(2023,7,31))=0,#N/A,(SUMIFS('DATA INPUT'!$E$3:$E$3000,'DATA INPUT'!$B$3:$B$3000,'Report Tables'!AH$1,'DATA INPUT'!$A$3:$A$3000,"&gt;="&amp;DATE(2023,7,1),'DATA INPUT'!$A$3:$A$3000,"&lt;"&amp;DATE(2023,7,31)))),IF(SUMIFS('DATA INPUT'!$E$3:$E$3000,'DATA INPUT'!$B$3:$B$3000,'Report Tables'!AH$1,'DATA INPUT'!$A$3:$A$3000,"&gt;="&amp;DATE(2023,7,1),'DATA INPUT'!$A$3:$A$3000,"&lt;"&amp;DATE(2023,7,31),'DATA INPUT'!$F$3:$F$3000,"&lt;&gt;*Exclude*")=0,#N/A,(SUMIFS('DATA INPUT'!$E$3:$E$3000,'DATA INPUT'!$B$3:$B$3000,'Report Tables'!AH$1,'DATA INPUT'!$A$3:$A$3000,"&gt;="&amp;DATE(2023,7,1),'DATA INPUT'!$A$3:$A$3000,"&lt;"&amp;DATE(2023,7,31),'DATA INPUT'!$F$3:$F$3000,"&lt;&gt;*Exclude*"))))</f>
        <v>#N/A</v>
      </c>
      <c r="AI81" s="136" t="e">
        <f t="shared" si="23"/>
        <v>#N/A</v>
      </c>
      <c r="AJ81" s="136" t="e">
        <f>IF($L$2="Yes",IF(SUMIFS('DATA INPUT'!$D$3:$D$3000,'DATA INPUT'!$A$3:$A$3000,"&gt;="&amp;DATE(2023,7,1),'DATA INPUT'!$A$3:$A$3000,"&lt;"&amp;DATE(2023,7,31),'DATA INPUT'!$G$3:$G$3000,"&lt;&gt;*School service*")=0,#N/A,(SUMIFS('DATA INPUT'!$D$3:$D$3000,'DATA INPUT'!$A$3:$A$3000,"&gt;="&amp;DATE(2023,7,1),'DATA INPUT'!$A$3:$A$3000,"&lt;"&amp;DATE(2023,7,31),'DATA INPUT'!$G$3:$G$3000,"&lt;&gt;*School service*"))),IF(SUMIFS('DATA INPUT'!$D$3:$D$3000,'DATA INPUT'!$A$3:$A$3000,"&gt;="&amp;DATE(2023,7,1),'DATA INPUT'!$A$3:$A$3000,"&lt;"&amp;DATE(2023,7,31),'DATA INPUT'!$F$3:$F$3000,"&lt;&gt;*Exclude*",'DATA INPUT'!$G$3:$G$3000,"&lt;&gt;*School service*")=0,#N/A,(SUMIFS('DATA INPUT'!$D$3:$D$3000,'DATA INPUT'!$A$3:$A$3000,"&gt;="&amp;DATE(2023,7,1),'DATA INPUT'!$A$3:$A$3000,"&lt;"&amp;DATE(2023,7,31),'DATA INPUT'!$F$3:$F$3000,"&lt;&gt;*Exclude*",'DATA INPUT'!$G$3:$G$3000,"&lt;&gt;*School service*"))))</f>
        <v>#N/A</v>
      </c>
      <c r="AK81" s="136" t="e">
        <f>AI81-AJ81</f>
        <v>#N/A</v>
      </c>
      <c r="AM81" s="117" t="e">
        <f>IF($L$2="Yes",IFERROR((SUMIFS('DATA INPUT'!$E$3:$E$3000,'DATA INPUT'!$B$3:$B$3000,'Report Tables'!AM$1,'DATA INPUT'!$A$3:$A$3000,"&gt;="&amp;DATE(2023,7,1),'DATA INPUT'!$A$3:$A$3000,"&lt;"&amp;DATE(2023,7,31)))/COUNTIFS('DATA INPUT'!$B$3:$B$3000,'Report Tables'!AM$1,'DATA INPUT'!$A$3:$A$3000,"&gt;="&amp;DATE(2023,7,1),'DATA INPUT'!$A$3:$A$3000,"&lt;"&amp;DATE(2023,7,31)),#N/A),IFERROR((SUMIFS('DATA INPUT'!$E$3:$E$3000,'DATA INPUT'!$B$3:$B$3000,'Report Tables'!AM$1,'DATA INPUT'!$A$3:$A$3000,"&gt;="&amp;DATE(2023,7,1),'DATA INPUT'!$A$3:$A$3000,"&lt;"&amp;DATE(2023,7,31),'DATA INPUT'!$F$3:$F$3000,"&lt;&gt;*Exclude*"))/(COUNTIFS('DATA INPUT'!$B$3:$B$3000,'Report Tables'!AM$1,'DATA INPUT'!$A$3:$A$3000,"&gt;="&amp;DATE(2023,7,1),'DATA INPUT'!$A$3:$A$3000,"&lt;"&amp;DATE(2023,7,31),'DATA INPUT'!$F$3:$F$3000,"&lt;&gt;*Exclude*")),#N/A))</f>
        <v>#N/A</v>
      </c>
      <c r="AN81" s="117" t="e">
        <f>IF($L$2="Yes",IFERROR((SUMIFS('DATA INPUT'!$E$3:$E$3000,'DATA INPUT'!$B$3:$B$3000,'Report Tables'!AN$1,'DATA INPUT'!$A$3:$A$3000,"&gt;="&amp;DATE(2023,7,1),'DATA INPUT'!$A$3:$A$3000,"&lt;"&amp;DATE(2023,7,31)))/COUNTIFS('DATA INPUT'!$B$3:$B$3000,'Report Tables'!AN$1,'DATA INPUT'!$A$3:$A$3000,"&gt;="&amp;DATE(2023,7,1),'DATA INPUT'!$A$3:$A$3000,"&lt;"&amp;DATE(2023,7,31)),#N/A),IFERROR((SUMIFS('DATA INPUT'!$E$3:$E$3000,'DATA INPUT'!$B$3:$B$3000,'Report Tables'!AN$1,'DATA INPUT'!$A$3:$A$3000,"&gt;="&amp;DATE(2023,7,1),'DATA INPUT'!$A$3:$A$3000,"&lt;"&amp;DATE(2023,7,31),'DATA INPUT'!$F$3:$F$3000,"&lt;&gt;*Exclude*"))/(COUNTIFS('DATA INPUT'!$B$3:$B$3000,'Report Tables'!AN$1,'DATA INPUT'!$A$3:$A$3000,"&gt;="&amp;DATE(2023,7,1),'DATA INPUT'!$A$3:$A$3000,"&lt;"&amp;DATE(2023,7,31),'DATA INPUT'!$F$3:$F$3000,"&lt;&gt;*Exclude*")),#N/A))</f>
        <v>#N/A</v>
      </c>
      <c r="AO81" s="117" t="e">
        <f>IF($L$2="Yes",IFERROR((SUMIFS('DATA INPUT'!$E$3:$E$3000,'DATA INPUT'!$B$3:$B$3000,'Report Tables'!AO$1,'DATA INPUT'!$A$3:$A$3000,"&gt;="&amp;DATE(2023,7,1),'DATA INPUT'!$A$3:$A$3000,"&lt;"&amp;DATE(2023,7,31)))/COUNTIFS('DATA INPUT'!$B$3:$B$3000,'Report Tables'!AO$1,'DATA INPUT'!$A$3:$A$3000,"&gt;="&amp;DATE(2023,7,1),'DATA INPUT'!$A$3:$A$3000,"&lt;"&amp;DATE(2023,7,31)),#N/A),IFERROR((SUMIFS('DATA INPUT'!$E$3:$E$3000,'DATA INPUT'!$B$3:$B$3000,'Report Tables'!AO$1,'DATA INPUT'!$A$3:$A$3000,"&gt;="&amp;DATE(2023,7,1),'DATA INPUT'!$A$3:$A$3000,"&lt;"&amp;DATE(2023,7,31),'DATA INPUT'!$F$3:$F$3000,"&lt;&gt;*Exclude*"))/(COUNTIFS('DATA INPUT'!$B$3:$B$3000,'Report Tables'!AO$1,'DATA INPUT'!$A$3:$A$3000,"&gt;="&amp;DATE(2023,7,1),'DATA INPUT'!$A$3:$A$3000,"&lt;"&amp;DATE(2023,7,31),'DATA INPUT'!$F$3:$F$3000,"&lt;&gt;*Exclude*")),#N/A))</f>
        <v>#N/A</v>
      </c>
      <c r="AP81" s="117" t="e">
        <f>IF($L$2="Yes",IFERROR((SUMIFS('DATA INPUT'!$E$3:$E$3000,'DATA INPUT'!$B$3:$B$3000,'Report Tables'!AP$1,'DATA INPUT'!$A$3:$A$3000,"&gt;="&amp;DATE(2023,7,1),'DATA INPUT'!$A$3:$A$3000,"&lt;"&amp;DATE(2023,7,31)))/COUNTIFS('DATA INPUT'!$B$3:$B$3000,'Report Tables'!AP$1,'DATA INPUT'!$A$3:$A$3000,"&gt;="&amp;DATE(2023,7,1),'DATA INPUT'!$A$3:$A$3000,"&lt;"&amp;DATE(2023,7,31)),#N/A),IFERROR((SUMIFS('DATA INPUT'!$E$3:$E$3000,'DATA INPUT'!$B$3:$B$3000,'Report Tables'!AP$1,'DATA INPUT'!$A$3:$A$3000,"&gt;="&amp;DATE(2023,7,1),'DATA INPUT'!$A$3:$A$3000,"&lt;"&amp;DATE(2023,7,31),'DATA INPUT'!$F$3:$F$3000,"&lt;&gt;*Exclude*"))/(COUNTIFS('DATA INPUT'!$B$3:$B$3000,'Report Tables'!AP$1,'DATA INPUT'!$A$3:$A$3000,"&gt;="&amp;DATE(2023,7,1),'DATA INPUT'!$A$3:$A$3000,"&lt;"&amp;DATE(2023,7,31),'DATA INPUT'!$F$3:$F$3000,"&lt;&gt;*Exclude*")),#N/A))</f>
        <v>#N/A</v>
      </c>
      <c r="AQ81" s="117" t="e">
        <f>IF($L$2="Yes",IFERROR((SUMIFS('DATA INPUT'!$E$3:$E$3000,'DATA INPUT'!$B$3:$B$3000,'Report Tables'!AQ$1,'DATA INPUT'!$A$3:$A$3000,"&gt;="&amp;DATE(2023,7,1),'DATA INPUT'!$A$3:$A$3000,"&lt;"&amp;DATE(2023,7,31)))/COUNTIFS('DATA INPUT'!$B$3:$B$3000,'Report Tables'!AQ$1,'DATA INPUT'!$A$3:$A$3000,"&gt;="&amp;DATE(2023,7,1),'DATA INPUT'!$A$3:$A$3000,"&lt;"&amp;DATE(2023,7,31)),#N/A),IFERROR((SUMIFS('DATA INPUT'!$E$3:$E$3000,'DATA INPUT'!$B$3:$B$3000,'Report Tables'!AQ$1,'DATA INPUT'!$A$3:$A$3000,"&gt;="&amp;DATE(2023,7,1),'DATA INPUT'!$A$3:$A$3000,"&lt;"&amp;DATE(2023,7,31),'DATA INPUT'!$F$3:$F$3000,"&lt;&gt;*Exclude*"))/(COUNTIFS('DATA INPUT'!$B$3:$B$3000,'Report Tables'!AQ$1,'DATA INPUT'!$A$3:$A$3000,"&gt;="&amp;DATE(2023,7,1),'DATA INPUT'!$A$3:$A$3000,"&lt;"&amp;DATE(2023,7,31),'DATA INPUT'!$F$3:$F$3000,"&lt;&gt;*Exclude*")),#N/A))</f>
        <v>#N/A</v>
      </c>
      <c r="AR81" s="117" t="e">
        <f>IF($L$2="Yes",IFERROR((SUMIFS('DATA INPUT'!$E$3:$E$3000,'DATA INPUT'!$B$3:$B$3000,'Report Tables'!AR$1,'DATA INPUT'!$A$3:$A$3000,"&gt;="&amp;DATE(2023,7,1),'DATA INPUT'!$A$3:$A$3000,"&lt;"&amp;DATE(2023,7,31)))/COUNTIFS('DATA INPUT'!$B$3:$B$3000,'Report Tables'!AR$1,'DATA INPUT'!$A$3:$A$3000,"&gt;="&amp;DATE(2023,7,1),'DATA INPUT'!$A$3:$A$3000,"&lt;"&amp;DATE(2023,7,31)),#N/A),IFERROR((SUMIFS('DATA INPUT'!$E$3:$E$3000,'DATA INPUT'!$B$3:$B$3000,'Report Tables'!AR$1,'DATA INPUT'!$A$3:$A$3000,"&gt;="&amp;DATE(2023,7,1),'DATA INPUT'!$A$3:$A$3000,"&lt;"&amp;DATE(2023,7,31),'DATA INPUT'!$F$3:$F$3000,"&lt;&gt;*Exclude*"))/(COUNTIFS('DATA INPUT'!$B$3:$B$3000,'Report Tables'!AR$1,'DATA INPUT'!$A$3:$A$3000,"&gt;="&amp;DATE(2023,7,1),'DATA INPUT'!$A$3:$A$3000,"&lt;"&amp;DATE(2023,7,31),'DATA INPUT'!$F$3:$F$3000,"&lt;&gt;*Exclude*")),#N/A))</f>
        <v>#N/A</v>
      </c>
      <c r="AS81" s="117" t="e">
        <f>IF($L$2="Yes",IFERROR((SUMIFS('DATA INPUT'!$E$3:$E$3000,'DATA INPUT'!$B$3:$B$3000,'Report Tables'!AS$1,'DATA INPUT'!$A$3:$A$3000,"&gt;="&amp;DATE(2023,7,1),'DATA INPUT'!$A$3:$A$3000,"&lt;"&amp;DATE(2023,7,31)))/COUNTIFS('DATA INPUT'!$B$3:$B$3000,'Report Tables'!AS$1,'DATA INPUT'!$A$3:$A$3000,"&gt;="&amp;DATE(2023,7,1),'DATA INPUT'!$A$3:$A$3000,"&lt;"&amp;DATE(2023,7,31)),#N/A),IFERROR((SUMIFS('DATA INPUT'!$E$3:$E$3000,'DATA INPUT'!$B$3:$B$3000,'Report Tables'!AS$1,'DATA INPUT'!$A$3:$A$3000,"&gt;="&amp;DATE(2023,7,1),'DATA INPUT'!$A$3:$A$3000,"&lt;"&amp;DATE(2023,7,31),'DATA INPUT'!$F$3:$F$3000,"&lt;&gt;*Exclude*"))/(COUNTIFS('DATA INPUT'!$B$3:$B$3000,'Report Tables'!AS$1,'DATA INPUT'!$A$3:$A$3000,"&gt;="&amp;DATE(2023,7,1),'DATA INPUT'!$A$3:$A$3000,"&lt;"&amp;DATE(2023,7,31),'DATA INPUT'!$F$3:$F$3000,"&lt;&gt;*Exclude*")),#N/A))</f>
        <v>#N/A</v>
      </c>
      <c r="AT81" s="117" t="e">
        <f>IF($L$2="Yes",IFERROR((SUMIFS('DATA INPUT'!$E$3:$E$3000,'DATA INPUT'!$B$3:$B$3000,'Report Tables'!AT$1,'DATA INPUT'!$A$3:$A$3000,"&gt;="&amp;DATE(2023,7,1),'DATA INPUT'!$A$3:$A$3000,"&lt;"&amp;DATE(2023,7,31)))/COUNTIFS('DATA INPUT'!$B$3:$B$3000,'Report Tables'!AT$1,'DATA INPUT'!$A$3:$A$3000,"&gt;="&amp;DATE(2023,7,1),'DATA INPUT'!$A$3:$A$3000,"&lt;"&amp;DATE(2023,7,31)),#N/A),IFERROR((SUMIFS('DATA INPUT'!$E$3:$E$3000,'DATA INPUT'!$B$3:$B$3000,'Report Tables'!AT$1,'DATA INPUT'!$A$3:$A$3000,"&gt;="&amp;DATE(2023,7,1),'DATA INPUT'!$A$3:$A$3000,"&lt;"&amp;DATE(2023,7,31),'DATA INPUT'!$F$3:$F$3000,"&lt;&gt;*Exclude*"))/(COUNTIFS('DATA INPUT'!$B$3:$B$3000,'Report Tables'!AT$1,'DATA INPUT'!$A$3:$A$3000,"&gt;="&amp;DATE(2023,7,1),'DATA INPUT'!$A$3:$A$3000,"&lt;"&amp;DATE(2023,7,31),'DATA INPUT'!$F$3:$F$3000,"&lt;&gt;*Exclude*")),#N/A))</f>
        <v>#N/A</v>
      </c>
      <c r="AU81" s="117" t="e">
        <f t="shared" si="24"/>
        <v>#N/A</v>
      </c>
      <c r="AV81" s="117" t="e">
        <f>IF($L$2="Yes",IFERROR((SUMIFS('DATA INPUT'!$D$3:$D$3000,'DATA INPUT'!$A$3:$A$3000,"&gt;="&amp;DATE(2023,7,1),'DATA INPUT'!$A$3:$A$3000,"&lt;"&amp;DATE(2023,7,31),'DATA INPUT'!$G$3:$G$3000,"&lt;&gt;*School service*"))/COUNTIFS('DATA INPUT'!$A$3:$A$3000,"&gt;="&amp;DATE(2023,7,1),'DATA INPUT'!$A$3:$A$3000,"&lt;"&amp;DATE(2023,7,31),'DATA INPUT'!$G$3:$G$3000,"&lt;&gt;*School service*",'DATA INPUT'!$D$3:$D$3000,"&lt;&gt;"&amp;""),#N/A),IFERROR((SUMIFS('DATA INPUT'!$D$3:$D$3000,'DATA INPUT'!$A$3:$A$3000,"&gt;="&amp;DATE(2023,7,1),'DATA INPUT'!$A$3:$A$3000,"&lt;"&amp;DATE(2023,7,31),'DATA INPUT'!$F$3:$F$3000,"&lt;&gt;*Exclude*",'DATA INPUT'!$G$3:$G$3000,"&lt;&gt;*School service*"))/(COUNTIFS('DATA INPUT'!$A$3:$A$3000,"&gt;="&amp;DATE(2023,7,1),'DATA INPUT'!$A$3:$A$3000,"&lt;"&amp;DATE(2023,7,31),'DATA INPUT'!$F$3:$F$3000,"&lt;&gt;*Exclude*",'DATA INPUT'!$G$3:$G$3000,"&lt;&gt;*School service*",'DATA INPUT'!$D$3:$D$3000,"&lt;&gt;"&amp;"")),#N/A))</f>
        <v>#N/A</v>
      </c>
      <c r="AW81" s="117" t="e">
        <f t="shared" si="25"/>
        <v>#N/A</v>
      </c>
      <c r="AX81" s="117" t="e">
        <f>IF($L$2="Yes",IFERROR((SUMIFS('DATA INPUT'!$E$3:$E$3000,'DATA INPUT'!$B$3:$B$3000,'Report Tables'!AX$1,'DATA INPUT'!$A$3:$A$3000,"&gt;="&amp;DATE(2023,7,1),'DATA INPUT'!$A$3:$A$3000,"&lt;"&amp;DATE(2023,7,31)))/COUNTIFS('DATA INPUT'!$B$3:$B$3000,'Report Tables'!AX$1,'DATA INPUT'!$A$3:$A$3000,"&gt;="&amp;DATE(2023,7,1),'DATA INPUT'!$A$3:$A$3000,"&lt;"&amp;DATE(2023,7,31)),#N/A),IFERROR((SUMIFS('DATA INPUT'!$E$3:$E$3000,'DATA INPUT'!$B$3:$B$3000,'Report Tables'!AX$1,'DATA INPUT'!$A$3:$A$3000,"&gt;="&amp;DATE(2023,7,1),'DATA INPUT'!$A$3:$A$3000,"&lt;"&amp;DATE(2023,7,31),'DATA INPUT'!$F$3:$F$3000,"&lt;&gt;*Exclude*"))/(COUNTIFS('DATA INPUT'!$B$3:$B$3000,'Report Tables'!AX$1,'DATA INPUT'!$A$3:$A$3000,"&gt;="&amp;DATE(2023,7,1),'DATA INPUT'!$A$3:$A$3000,"&lt;"&amp;DATE(2023,7,31),'DATA INPUT'!$F$3:$F$3000,"&lt;&gt;*Exclude*")),#N/A))</f>
        <v>#N/A</v>
      </c>
      <c r="AY81" s="117" t="e">
        <f>IF($L$2="Yes",IFERROR((SUMIFS('DATA INPUT'!$D$3:$D$3000,'DATA INPUT'!$B$3:$B$3000,'Report Tables'!AX$1,'DATA INPUT'!$A$3:$A$3000,"&gt;="&amp;DATE(2023,7,1),'DATA INPUT'!$A$3:$A$3000,"&lt;"&amp;DATE(2023,7,31)))/COUNTIFS('DATA INPUT'!$B$3:$B$3000,'Report Tables'!AX$1,'DATA INPUT'!$A$3:$A$3000,"&gt;="&amp;DATE(2023,7,1),'DATA INPUT'!$A$3:$A$3000,"&lt;"&amp;DATE(2023,7,31)),#N/A),IFERROR((SUMIFS('DATA INPUT'!$D$3:$D$3000,'DATA INPUT'!$B$3:$B$3000,'Report Tables'!AX$1,'DATA INPUT'!$A$3:$A$3000,"&gt;="&amp;DATE(2023,7,1),'DATA INPUT'!$A$3:$A$3000,"&lt;"&amp;DATE(2023,7,31),'DATA INPUT'!$F$3:$F$3000,"&lt;&gt;*Exclude*"))/(COUNTIFS('DATA INPUT'!$B$3:$B$3000,'Report Tables'!AX$1,'DATA INPUT'!$A$3:$A$3000,"&gt;="&amp;DATE(2023,7,1),'DATA INPUT'!$A$3:$A$3000,"&lt;"&amp;DATE(2023,7,31),'DATA INPUT'!$F$3:$F$3000,"&lt;&gt;*Exclude*")),#N/A))</f>
        <v>#N/A</v>
      </c>
      <c r="AZ81" s="117" t="e">
        <f>IF($L$2="Yes",IFERROR((SUMIFS('DATA INPUT'!$C$3:$C$3000,'DATA INPUT'!$B$3:$B$3000,'Report Tables'!AX$1,'DATA INPUT'!$A$3:$A$3000,"&gt;="&amp;DATE(2023,7,1),'DATA INPUT'!$A$3:$A$3000,"&lt;"&amp;DATE(2023,7,31)))/COUNTIFS('DATA INPUT'!$B$3:$B$3000,'Report Tables'!AX$1,'DATA INPUT'!$A$3:$A$3000,"&gt;="&amp;DATE(2023,7,1),'DATA INPUT'!$A$3:$A$3000,"&lt;"&amp;DATE(2023,7,31)),#N/A),IFERROR((SUMIFS('DATA INPUT'!$C$3:$C$3000,'DATA INPUT'!$B$3:$B$3000,'Report Tables'!AX$1,'DATA INPUT'!$A$3:$A$3000,"&gt;="&amp;DATE(2023,7,1),'DATA INPUT'!$A$3:$A$3000,"&lt;"&amp;DATE(2023,7,31),'DATA INPUT'!$F$3:$F$3000,"&lt;&gt;*Exclude*"))/(COUNTIFS('DATA INPUT'!$B$3:$B$3000,'Report Tables'!AX$1,'DATA INPUT'!$A$3:$A$3000,"&gt;="&amp;DATE(2023,7,1),'DATA INPUT'!$A$3:$A$3000,"&lt;"&amp;DATE(2023,7,31),'DATA INPUT'!$F$3:$F$3000,"&lt;&gt;*Exclude*")),#N/A))</f>
        <v>#N/A</v>
      </c>
    </row>
    <row r="82" spans="25:52" x14ac:dyDescent="0.3">
      <c r="Y82" s="149"/>
      <c r="Z82" s="149" t="s">
        <v>19</v>
      </c>
      <c r="AA82" s="136" t="e">
        <f>IF($L$2="Yes",IF(SUMIFS('DATA INPUT'!$E$3:$E$3000,'DATA INPUT'!$B$3:$B$3000,'Report Tables'!AA$1,'DATA INPUT'!$A$3:$A$3000,"&gt;="&amp;DATE(2023,8,1),'DATA INPUT'!$A$3:$A$3000,"&lt;"&amp;DATE(2023,8,31))=0,#N/A,(SUMIFS('DATA INPUT'!$E$3:$E$3000,'DATA INPUT'!$B$3:$B$3000,'Report Tables'!AA$1,'DATA INPUT'!$A$3:$A$3000,"&gt;="&amp;DATE(2023,8,1),'DATA INPUT'!$A$3:$A$3000,"&lt;"&amp;DATE(2023,8,31)))),IF(SUMIFS('DATA INPUT'!$E$3:$E$3000,'DATA INPUT'!$B$3:$B$3000,'Report Tables'!AA$1,'DATA INPUT'!$A$3:$A$3000,"&gt;="&amp;DATE(2023,8,1),'DATA INPUT'!$A$3:$A$3000,"&lt;"&amp;DATE(2023,8,31),'DATA INPUT'!$F$3:$F$3000,"&lt;&gt;*Exclude*")=0,#N/A,(SUMIFS('DATA INPUT'!$E$3:$E$3000,'DATA INPUT'!$B$3:$B$3000,'Report Tables'!AA$1,'DATA INPUT'!$A$3:$A$3000,"&gt;="&amp;DATE(2023,8,1),'DATA INPUT'!$A$3:$A$3000,"&lt;"&amp;DATE(2023,8,31),'DATA INPUT'!$F$3:$F$3000,"&lt;&gt;*Exclude*"))))</f>
        <v>#N/A</v>
      </c>
      <c r="AB82" s="136" t="e">
        <f>IF($L$2="Yes",IF(SUMIFS('DATA INPUT'!$E$3:$E$3000,'DATA INPUT'!$B$3:$B$3000,'Report Tables'!AB$1,'DATA INPUT'!$A$3:$A$3000,"&gt;="&amp;DATE(2023,8,1),'DATA INPUT'!$A$3:$A$3000,"&lt;"&amp;DATE(2023,8,31))=0,#N/A,(SUMIFS('DATA INPUT'!$E$3:$E$3000,'DATA INPUT'!$B$3:$B$3000,'Report Tables'!AB$1,'DATA INPUT'!$A$3:$A$3000,"&gt;="&amp;DATE(2023,8,1),'DATA INPUT'!$A$3:$A$3000,"&lt;"&amp;DATE(2023,8,31)))),IF(SUMIFS('DATA INPUT'!$E$3:$E$3000,'DATA INPUT'!$B$3:$B$3000,'Report Tables'!AB$1,'DATA INPUT'!$A$3:$A$3000,"&gt;="&amp;DATE(2023,8,1),'DATA INPUT'!$A$3:$A$3000,"&lt;"&amp;DATE(2023,8,31),'DATA INPUT'!$F$3:$F$3000,"&lt;&gt;*Exclude*")=0,#N/A,(SUMIFS('DATA INPUT'!$E$3:$E$3000,'DATA INPUT'!$B$3:$B$3000,'Report Tables'!AB$1,'DATA INPUT'!$A$3:$A$3000,"&gt;="&amp;DATE(2023,8,1),'DATA INPUT'!$A$3:$A$3000,"&lt;"&amp;DATE(2023,8,31),'DATA INPUT'!$F$3:$F$3000,"&lt;&gt;*Exclude*"))))</f>
        <v>#N/A</v>
      </c>
      <c r="AC82" s="136" t="e">
        <f>IF($L$2="Yes",IF(SUMIFS('DATA INPUT'!$E$3:$E$3000,'DATA INPUT'!$B$3:$B$3000,'Report Tables'!AC$1,'DATA INPUT'!$A$3:$A$3000,"&gt;="&amp;DATE(2023,8,1),'DATA INPUT'!$A$3:$A$3000,"&lt;"&amp;DATE(2023,8,31))=0,#N/A,(SUMIFS('DATA INPUT'!$E$3:$E$3000,'DATA INPUT'!$B$3:$B$3000,'Report Tables'!AC$1,'DATA INPUT'!$A$3:$A$3000,"&gt;="&amp;DATE(2023,8,1),'DATA INPUT'!$A$3:$A$3000,"&lt;"&amp;DATE(2023,8,31)))),IF(SUMIFS('DATA INPUT'!$E$3:$E$3000,'DATA INPUT'!$B$3:$B$3000,'Report Tables'!AC$1,'DATA INPUT'!$A$3:$A$3000,"&gt;="&amp;DATE(2023,8,1),'DATA INPUT'!$A$3:$A$3000,"&lt;"&amp;DATE(2023,8,31),'DATA INPUT'!$F$3:$F$3000,"&lt;&gt;*Exclude*")=0,#N/A,(SUMIFS('DATA INPUT'!$E$3:$E$3000,'DATA INPUT'!$B$3:$B$3000,'Report Tables'!AC$1,'DATA INPUT'!$A$3:$A$3000,"&gt;="&amp;DATE(2023,8,1),'DATA INPUT'!$A$3:$A$3000,"&lt;"&amp;DATE(2023,8,31),'DATA INPUT'!$F$3:$F$3000,"&lt;&gt;*Exclude*"))))</f>
        <v>#N/A</v>
      </c>
      <c r="AD82" s="136" t="e">
        <f>IF($L$2="Yes",IF(SUMIFS('DATA INPUT'!$E$3:$E$3000,'DATA INPUT'!$B$3:$B$3000,'Report Tables'!AD$1,'DATA INPUT'!$A$3:$A$3000,"&gt;="&amp;DATE(2023,8,1),'DATA INPUT'!$A$3:$A$3000,"&lt;"&amp;DATE(2023,8,31))=0,#N/A,(SUMIFS('DATA INPUT'!$E$3:$E$3000,'DATA INPUT'!$B$3:$B$3000,'Report Tables'!AD$1,'DATA INPUT'!$A$3:$A$3000,"&gt;="&amp;DATE(2023,8,1),'DATA INPUT'!$A$3:$A$3000,"&lt;"&amp;DATE(2023,8,31)))),IF(SUMIFS('DATA INPUT'!$E$3:$E$3000,'DATA INPUT'!$B$3:$B$3000,'Report Tables'!AD$1,'DATA INPUT'!$A$3:$A$3000,"&gt;="&amp;DATE(2023,8,1),'DATA INPUT'!$A$3:$A$3000,"&lt;"&amp;DATE(2023,8,31),'DATA INPUT'!$F$3:$F$3000,"&lt;&gt;*Exclude*")=0,#N/A,(SUMIFS('DATA INPUT'!$E$3:$E$3000,'DATA INPUT'!$B$3:$B$3000,'Report Tables'!AD$1,'DATA INPUT'!$A$3:$A$3000,"&gt;="&amp;DATE(2023,8,1),'DATA INPUT'!$A$3:$A$3000,"&lt;"&amp;DATE(2023,8,31),'DATA INPUT'!$F$3:$F$3000,"&lt;&gt;*Exclude*"))))</f>
        <v>#N/A</v>
      </c>
      <c r="AE82" s="136" t="e">
        <f>IF($L$2="Yes",IF(SUMIFS('DATA INPUT'!$E$3:$E$3000,'DATA INPUT'!$B$3:$B$3000,'Report Tables'!AE$1,'DATA INPUT'!$A$3:$A$3000,"&gt;="&amp;DATE(2023,8,1),'DATA INPUT'!$A$3:$A$3000,"&lt;"&amp;DATE(2023,8,31))=0,#N/A,(SUMIFS('DATA INPUT'!$E$3:$E$3000,'DATA INPUT'!$B$3:$B$3000,'Report Tables'!AE$1,'DATA INPUT'!$A$3:$A$3000,"&gt;="&amp;DATE(2023,8,1),'DATA INPUT'!$A$3:$A$3000,"&lt;"&amp;DATE(2023,8,31)))),IF(SUMIFS('DATA INPUT'!$E$3:$E$3000,'DATA INPUT'!$B$3:$B$3000,'Report Tables'!AE$1,'DATA INPUT'!$A$3:$A$3000,"&gt;="&amp;DATE(2023,8,1),'DATA INPUT'!$A$3:$A$3000,"&lt;"&amp;DATE(2023,8,31),'DATA INPUT'!$F$3:$F$3000,"&lt;&gt;*Exclude*")=0,#N/A,(SUMIFS('DATA INPUT'!$E$3:$E$3000,'DATA INPUT'!$B$3:$B$3000,'Report Tables'!AE$1,'DATA INPUT'!$A$3:$A$3000,"&gt;="&amp;DATE(2023,8,1),'DATA INPUT'!$A$3:$A$3000,"&lt;"&amp;DATE(2023,8,31),'DATA INPUT'!$F$3:$F$3000,"&lt;&gt;*Exclude*"))))</f>
        <v>#N/A</v>
      </c>
      <c r="AF82" s="136" t="e">
        <f>IF($L$2="Yes",IF(SUMIFS('DATA INPUT'!$E$3:$E$3000,'DATA INPUT'!$B$3:$B$3000,'Report Tables'!AF$1,'DATA INPUT'!$A$3:$A$3000,"&gt;="&amp;DATE(2023,8,1),'DATA INPUT'!$A$3:$A$3000,"&lt;"&amp;DATE(2023,8,31))=0,#N/A,(SUMIFS('DATA INPUT'!$E$3:$E$3000,'DATA INPUT'!$B$3:$B$3000,'Report Tables'!AF$1,'DATA INPUT'!$A$3:$A$3000,"&gt;="&amp;DATE(2023,8,1),'DATA INPUT'!$A$3:$A$3000,"&lt;"&amp;DATE(2023,8,31)))),IF(SUMIFS('DATA INPUT'!$E$3:$E$3000,'DATA INPUT'!$B$3:$B$3000,'Report Tables'!AF$1,'DATA INPUT'!$A$3:$A$3000,"&gt;="&amp;DATE(2023,8,1),'DATA INPUT'!$A$3:$A$3000,"&lt;"&amp;DATE(2023,8,31),'DATA INPUT'!$F$3:$F$3000,"&lt;&gt;*Exclude*")=0,#N/A,(SUMIFS('DATA INPUT'!$E$3:$E$3000,'DATA INPUT'!$B$3:$B$3000,'Report Tables'!AF$1,'DATA INPUT'!$A$3:$A$3000,"&gt;="&amp;DATE(2023,8,1),'DATA INPUT'!$A$3:$A$3000,"&lt;"&amp;DATE(2023,8,31),'DATA INPUT'!$F$3:$F$3000,"&lt;&gt;*Exclude*"))))</f>
        <v>#N/A</v>
      </c>
      <c r="AG82" s="136" t="e">
        <f>IF($L$2="Yes",IF(SUMIFS('DATA INPUT'!$E$3:$E$3000,'DATA INPUT'!$B$3:$B$3000,'Report Tables'!AG$1,'DATA INPUT'!$A$3:$A$3000,"&gt;="&amp;DATE(2023,8,1),'DATA INPUT'!$A$3:$A$3000,"&lt;"&amp;DATE(2023,8,31))=0,#N/A,(SUMIFS('DATA INPUT'!$E$3:$E$3000,'DATA INPUT'!$B$3:$B$3000,'Report Tables'!AG$1,'DATA INPUT'!$A$3:$A$3000,"&gt;="&amp;DATE(2023,8,1),'DATA INPUT'!$A$3:$A$3000,"&lt;"&amp;DATE(2023,8,31)))),IF(SUMIFS('DATA INPUT'!$E$3:$E$3000,'DATA INPUT'!$B$3:$B$3000,'Report Tables'!AG$1,'DATA INPUT'!$A$3:$A$3000,"&gt;="&amp;DATE(2023,8,1),'DATA INPUT'!$A$3:$A$3000,"&lt;"&amp;DATE(2023,8,31),'DATA INPUT'!$F$3:$F$3000,"&lt;&gt;*Exclude*")=0,#N/A,(SUMIFS('DATA INPUT'!$E$3:$E$3000,'DATA INPUT'!$B$3:$B$3000,'Report Tables'!AG$1,'DATA INPUT'!$A$3:$A$3000,"&gt;="&amp;DATE(2023,8,1),'DATA INPUT'!$A$3:$A$3000,"&lt;"&amp;DATE(2023,8,31),'DATA INPUT'!$F$3:$F$3000,"&lt;&gt;*Exclude*"))))</f>
        <v>#N/A</v>
      </c>
      <c r="AH82" s="136" t="e">
        <f>IF($L$2="Yes",IF(SUMIFS('DATA INPUT'!$E$3:$E$3000,'DATA INPUT'!$B$3:$B$3000,'Report Tables'!AH$1,'DATA INPUT'!$A$3:$A$3000,"&gt;="&amp;DATE(2023,8,1),'DATA INPUT'!$A$3:$A$3000,"&lt;"&amp;DATE(2023,8,31))=0,#N/A,(SUMIFS('DATA INPUT'!$E$3:$E$3000,'DATA INPUT'!$B$3:$B$3000,'Report Tables'!AH$1,'DATA INPUT'!$A$3:$A$3000,"&gt;="&amp;DATE(2023,8,1),'DATA INPUT'!$A$3:$A$3000,"&lt;"&amp;DATE(2023,8,31)))),IF(SUMIFS('DATA INPUT'!$E$3:$E$3000,'DATA INPUT'!$B$3:$B$3000,'Report Tables'!AH$1,'DATA INPUT'!$A$3:$A$3000,"&gt;="&amp;DATE(2023,8,1),'DATA INPUT'!$A$3:$A$3000,"&lt;"&amp;DATE(2023,8,31),'DATA INPUT'!$F$3:$F$3000,"&lt;&gt;*Exclude*")=0,#N/A,(SUMIFS('DATA INPUT'!$E$3:$E$3000,'DATA INPUT'!$B$3:$B$3000,'Report Tables'!AH$1,'DATA INPUT'!$A$3:$A$3000,"&gt;="&amp;DATE(2023,8,1),'DATA INPUT'!$A$3:$A$3000,"&lt;"&amp;DATE(2023,8,31),'DATA INPUT'!$F$3:$F$3000,"&lt;&gt;*Exclude*"))))</f>
        <v>#N/A</v>
      </c>
      <c r="AI82" s="136" t="e">
        <f t="shared" si="23"/>
        <v>#N/A</v>
      </c>
      <c r="AJ82" s="136" t="e">
        <f>IF($L$2="Yes",IF(SUMIFS('DATA INPUT'!$D$3:$D$3000,'DATA INPUT'!$A$3:$A$3000,"&gt;="&amp;DATE(2023,8,1),'DATA INPUT'!$A$3:$A$3000,"&lt;"&amp;DATE(2023,8,31),'DATA INPUT'!$G$3:$G$3000,"&lt;&gt;*School service*")=0,#N/A,(SUMIFS('DATA INPUT'!$D$3:$D$3000,'DATA INPUT'!$A$3:$A$3000,"&gt;="&amp;DATE(2023,8,1),'DATA INPUT'!$A$3:$A$3000,"&lt;"&amp;DATE(2023,8,31),'DATA INPUT'!$G$3:$G$3000,"&lt;&gt;*School service*"))),IF(SUMIFS('DATA INPUT'!$D$3:$D$3000,'DATA INPUT'!$A$3:$A$3000,"&gt;="&amp;DATE(2023,8,1),'DATA INPUT'!$A$3:$A$3000,"&lt;"&amp;DATE(2023,8,31),'DATA INPUT'!$F$3:$F$3000,"&lt;&gt;*Exclude*",'DATA INPUT'!$G$3:$G$3000,"&lt;&gt;*School service*")=0,#N/A,(SUMIFS('DATA INPUT'!$D$3:$D$3000,'DATA INPUT'!$A$3:$A$3000,"&gt;="&amp;DATE(2023,8,1),'DATA INPUT'!$A$3:$A$3000,"&lt;"&amp;DATE(2023,8,31),'DATA INPUT'!$F$3:$F$3000,"&lt;&gt;*Exclude*",'DATA INPUT'!$G$3:$G$3000,"&lt;&gt;*School service*"))))</f>
        <v>#N/A</v>
      </c>
      <c r="AK82" s="136" t="e">
        <f>AI82-AJ82</f>
        <v>#N/A</v>
      </c>
      <c r="AM82" s="117" t="e">
        <f>IF($L$2="Yes",IFERROR((SUMIFS('DATA INPUT'!$E$3:$E$3000,'DATA INPUT'!$B$3:$B$3000,'Report Tables'!AM$1,'DATA INPUT'!$A$3:$A$3000,"&gt;="&amp;DATE(2023,8,1),'DATA INPUT'!$A$3:$A$3000,"&lt;"&amp;DATE(2023,8,31)))/COUNTIFS('DATA INPUT'!$B$3:$B$3000,'Report Tables'!AM$1,'DATA INPUT'!$A$3:$A$3000,"&gt;="&amp;DATE(2023,8,1),'DATA INPUT'!$A$3:$A$3000,"&lt;"&amp;DATE(2023,8,31)),#N/A),IFERROR((SUMIFS('DATA INPUT'!$E$3:$E$3000,'DATA INPUT'!$B$3:$B$3000,'Report Tables'!AM$1,'DATA INPUT'!$A$3:$A$3000,"&gt;="&amp;DATE(2023,8,1),'DATA INPUT'!$A$3:$A$3000,"&lt;"&amp;DATE(2023,8,31),'DATA INPUT'!$F$3:$F$3000,"&lt;&gt;*Exclude*"))/(COUNTIFS('DATA INPUT'!$B$3:$B$3000,'Report Tables'!AM$1,'DATA INPUT'!$A$3:$A$3000,"&gt;="&amp;DATE(2023,8,1),'DATA INPUT'!$A$3:$A$3000,"&lt;"&amp;DATE(2023,8,31),'DATA INPUT'!$F$3:$F$3000,"&lt;&gt;*Exclude*")),#N/A))</f>
        <v>#N/A</v>
      </c>
      <c r="AN82" s="117" t="e">
        <f>IF($L$2="Yes",IFERROR((SUMIFS('DATA INPUT'!$E$3:$E$3000,'DATA INPUT'!$B$3:$B$3000,'Report Tables'!AN$1,'DATA INPUT'!$A$3:$A$3000,"&gt;="&amp;DATE(2023,8,1),'DATA INPUT'!$A$3:$A$3000,"&lt;"&amp;DATE(2023,8,31)))/COUNTIFS('DATA INPUT'!$B$3:$B$3000,'Report Tables'!AN$1,'DATA INPUT'!$A$3:$A$3000,"&gt;="&amp;DATE(2023,8,1),'DATA INPUT'!$A$3:$A$3000,"&lt;"&amp;DATE(2023,8,31)),#N/A),IFERROR((SUMIFS('DATA INPUT'!$E$3:$E$3000,'DATA INPUT'!$B$3:$B$3000,'Report Tables'!AN$1,'DATA INPUT'!$A$3:$A$3000,"&gt;="&amp;DATE(2023,8,1),'DATA INPUT'!$A$3:$A$3000,"&lt;"&amp;DATE(2023,8,31),'DATA INPUT'!$F$3:$F$3000,"&lt;&gt;*Exclude*"))/(COUNTIFS('DATA INPUT'!$B$3:$B$3000,'Report Tables'!AN$1,'DATA INPUT'!$A$3:$A$3000,"&gt;="&amp;DATE(2023,8,1),'DATA INPUT'!$A$3:$A$3000,"&lt;"&amp;DATE(2023,8,31),'DATA INPUT'!$F$3:$F$3000,"&lt;&gt;*Exclude*")),#N/A))</f>
        <v>#N/A</v>
      </c>
      <c r="AO82" s="117" t="e">
        <f>IF($L$2="Yes",IFERROR((SUMIFS('DATA INPUT'!$E$3:$E$3000,'DATA INPUT'!$B$3:$B$3000,'Report Tables'!AO$1,'DATA INPUT'!$A$3:$A$3000,"&gt;="&amp;DATE(2023,8,1),'DATA INPUT'!$A$3:$A$3000,"&lt;"&amp;DATE(2023,8,31)))/COUNTIFS('DATA INPUT'!$B$3:$B$3000,'Report Tables'!AO$1,'DATA INPUT'!$A$3:$A$3000,"&gt;="&amp;DATE(2023,8,1),'DATA INPUT'!$A$3:$A$3000,"&lt;"&amp;DATE(2023,8,31)),#N/A),IFERROR((SUMIFS('DATA INPUT'!$E$3:$E$3000,'DATA INPUT'!$B$3:$B$3000,'Report Tables'!AO$1,'DATA INPUT'!$A$3:$A$3000,"&gt;="&amp;DATE(2023,8,1),'DATA INPUT'!$A$3:$A$3000,"&lt;"&amp;DATE(2023,8,31),'DATA INPUT'!$F$3:$F$3000,"&lt;&gt;*Exclude*"))/(COUNTIFS('DATA INPUT'!$B$3:$B$3000,'Report Tables'!AO$1,'DATA INPUT'!$A$3:$A$3000,"&gt;="&amp;DATE(2023,8,1),'DATA INPUT'!$A$3:$A$3000,"&lt;"&amp;DATE(2023,8,31),'DATA INPUT'!$F$3:$F$3000,"&lt;&gt;*Exclude*")),#N/A))</f>
        <v>#N/A</v>
      </c>
      <c r="AP82" s="117" t="e">
        <f>IF($L$2="Yes",IFERROR((SUMIFS('DATA INPUT'!$E$3:$E$3000,'DATA INPUT'!$B$3:$B$3000,'Report Tables'!AP$1,'DATA INPUT'!$A$3:$A$3000,"&gt;="&amp;DATE(2023,8,1),'DATA INPUT'!$A$3:$A$3000,"&lt;"&amp;DATE(2023,8,31)))/COUNTIFS('DATA INPUT'!$B$3:$B$3000,'Report Tables'!AP$1,'DATA INPUT'!$A$3:$A$3000,"&gt;="&amp;DATE(2023,8,1),'DATA INPUT'!$A$3:$A$3000,"&lt;"&amp;DATE(2023,8,31)),#N/A),IFERROR((SUMIFS('DATA INPUT'!$E$3:$E$3000,'DATA INPUT'!$B$3:$B$3000,'Report Tables'!AP$1,'DATA INPUT'!$A$3:$A$3000,"&gt;="&amp;DATE(2023,8,1),'DATA INPUT'!$A$3:$A$3000,"&lt;"&amp;DATE(2023,8,31),'DATA INPUT'!$F$3:$F$3000,"&lt;&gt;*Exclude*"))/(COUNTIFS('DATA INPUT'!$B$3:$B$3000,'Report Tables'!AP$1,'DATA INPUT'!$A$3:$A$3000,"&gt;="&amp;DATE(2023,8,1),'DATA INPUT'!$A$3:$A$3000,"&lt;"&amp;DATE(2023,8,31),'DATA INPUT'!$F$3:$F$3000,"&lt;&gt;*Exclude*")),#N/A))</f>
        <v>#N/A</v>
      </c>
      <c r="AQ82" s="117" t="e">
        <f>IF($L$2="Yes",IFERROR((SUMIFS('DATA INPUT'!$E$3:$E$3000,'DATA INPUT'!$B$3:$B$3000,'Report Tables'!AQ$1,'DATA INPUT'!$A$3:$A$3000,"&gt;="&amp;DATE(2023,8,1),'DATA INPUT'!$A$3:$A$3000,"&lt;"&amp;DATE(2023,8,31)))/COUNTIFS('DATA INPUT'!$B$3:$B$3000,'Report Tables'!AQ$1,'DATA INPUT'!$A$3:$A$3000,"&gt;="&amp;DATE(2023,8,1),'DATA INPUT'!$A$3:$A$3000,"&lt;"&amp;DATE(2023,8,31)),#N/A),IFERROR((SUMIFS('DATA INPUT'!$E$3:$E$3000,'DATA INPUT'!$B$3:$B$3000,'Report Tables'!AQ$1,'DATA INPUT'!$A$3:$A$3000,"&gt;="&amp;DATE(2023,8,1),'DATA INPUT'!$A$3:$A$3000,"&lt;"&amp;DATE(2023,8,31),'DATA INPUT'!$F$3:$F$3000,"&lt;&gt;*Exclude*"))/(COUNTIFS('DATA INPUT'!$B$3:$B$3000,'Report Tables'!AQ$1,'DATA INPUT'!$A$3:$A$3000,"&gt;="&amp;DATE(2023,8,1),'DATA INPUT'!$A$3:$A$3000,"&lt;"&amp;DATE(2023,8,31),'DATA INPUT'!$F$3:$F$3000,"&lt;&gt;*Exclude*")),#N/A))</f>
        <v>#N/A</v>
      </c>
      <c r="AR82" s="117" t="e">
        <f>IF($L$2="Yes",IFERROR((SUMIFS('DATA INPUT'!$E$3:$E$3000,'DATA INPUT'!$B$3:$B$3000,'Report Tables'!AR$1,'DATA INPUT'!$A$3:$A$3000,"&gt;="&amp;DATE(2023,8,1),'DATA INPUT'!$A$3:$A$3000,"&lt;"&amp;DATE(2023,8,31)))/COUNTIFS('DATA INPUT'!$B$3:$B$3000,'Report Tables'!AR$1,'DATA INPUT'!$A$3:$A$3000,"&gt;="&amp;DATE(2023,8,1),'DATA INPUT'!$A$3:$A$3000,"&lt;"&amp;DATE(2023,8,31)),#N/A),IFERROR((SUMIFS('DATA INPUT'!$E$3:$E$3000,'DATA INPUT'!$B$3:$B$3000,'Report Tables'!AR$1,'DATA INPUT'!$A$3:$A$3000,"&gt;="&amp;DATE(2023,8,1),'DATA INPUT'!$A$3:$A$3000,"&lt;"&amp;DATE(2023,8,31),'DATA INPUT'!$F$3:$F$3000,"&lt;&gt;*Exclude*"))/(COUNTIFS('DATA INPUT'!$B$3:$B$3000,'Report Tables'!AR$1,'DATA INPUT'!$A$3:$A$3000,"&gt;="&amp;DATE(2023,8,1),'DATA INPUT'!$A$3:$A$3000,"&lt;"&amp;DATE(2023,8,31),'DATA INPUT'!$F$3:$F$3000,"&lt;&gt;*Exclude*")),#N/A))</f>
        <v>#N/A</v>
      </c>
      <c r="AS82" s="117" t="e">
        <f>IF($L$2="Yes",IFERROR((SUMIFS('DATA INPUT'!$E$3:$E$3000,'DATA INPUT'!$B$3:$B$3000,'Report Tables'!AS$1,'DATA INPUT'!$A$3:$A$3000,"&gt;="&amp;DATE(2023,8,1),'DATA INPUT'!$A$3:$A$3000,"&lt;"&amp;DATE(2023,8,31)))/COUNTIFS('DATA INPUT'!$B$3:$B$3000,'Report Tables'!AS$1,'DATA INPUT'!$A$3:$A$3000,"&gt;="&amp;DATE(2023,8,1),'DATA INPUT'!$A$3:$A$3000,"&lt;"&amp;DATE(2023,8,31)),#N/A),IFERROR((SUMIFS('DATA INPUT'!$E$3:$E$3000,'DATA INPUT'!$B$3:$B$3000,'Report Tables'!AS$1,'DATA INPUT'!$A$3:$A$3000,"&gt;="&amp;DATE(2023,8,1),'DATA INPUT'!$A$3:$A$3000,"&lt;"&amp;DATE(2023,8,31),'DATA INPUT'!$F$3:$F$3000,"&lt;&gt;*Exclude*"))/(COUNTIFS('DATA INPUT'!$B$3:$B$3000,'Report Tables'!AS$1,'DATA INPUT'!$A$3:$A$3000,"&gt;="&amp;DATE(2023,8,1),'DATA INPUT'!$A$3:$A$3000,"&lt;"&amp;DATE(2023,8,31),'DATA INPUT'!$F$3:$F$3000,"&lt;&gt;*Exclude*")),#N/A))</f>
        <v>#N/A</v>
      </c>
      <c r="AT82" s="117" t="e">
        <f>IF($L$2="Yes",IFERROR((SUMIFS('DATA INPUT'!$E$3:$E$3000,'DATA INPUT'!$B$3:$B$3000,'Report Tables'!AT$1,'DATA INPUT'!$A$3:$A$3000,"&gt;="&amp;DATE(2023,8,1),'DATA INPUT'!$A$3:$A$3000,"&lt;"&amp;DATE(2023,8,31)))/COUNTIFS('DATA INPUT'!$B$3:$B$3000,'Report Tables'!AT$1,'DATA INPUT'!$A$3:$A$3000,"&gt;="&amp;DATE(2023,8,1),'DATA INPUT'!$A$3:$A$3000,"&lt;"&amp;DATE(2023,8,31)),#N/A),IFERROR((SUMIFS('DATA INPUT'!$E$3:$E$3000,'DATA INPUT'!$B$3:$B$3000,'Report Tables'!AT$1,'DATA INPUT'!$A$3:$A$3000,"&gt;="&amp;DATE(2023,8,1),'DATA INPUT'!$A$3:$A$3000,"&lt;"&amp;DATE(2023,8,31),'DATA INPUT'!$F$3:$F$3000,"&lt;&gt;*Exclude*"))/(COUNTIFS('DATA INPUT'!$B$3:$B$3000,'Report Tables'!AT$1,'DATA INPUT'!$A$3:$A$3000,"&gt;="&amp;DATE(2023,8,1),'DATA INPUT'!$A$3:$A$3000,"&lt;"&amp;DATE(2023,8,31),'DATA INPUT'!$F$3:$F$3000,"&lt;&gt;*Exclude*")),#N/A))</f>
        <v>#N/A</v>
      </c>
      <c r="AU82" s="117" t="e">
        <f t="shared" si="24"/>
        <v>#N/A</v>
      </c>
      <c r="AV82" s="117" t="e">
        <f>IF($L$2="Yes",IFERROR((SUMIFS('DATA INPUT'!$D$3:$D$3000,'DATA INPUT'!$A$3:$A$3000,"&gt;="&amp;DATE(2023,8,1),'DATA INPUT'!$A$3:$A$3000,"&lt;"&amp;DATE(2023,8,31),'DATA INPUT'!$G$3:$G$3000,"&lt;&gt;*School service*"))/COUNTIFS('DATA INPUT'!$A$3:$A$3000,"&gt;="&amp;DATE(2023,8,1),'DATA INPUT'!$A$3:$A$3000,"&lt;"&amp;DATE(2023,8,31),'DATA INPUT'!$G$3:$G$3000,"&lt;&gt;*School service*",'DATA INPUT'!$D$3:$D$3000,"&lt;&gt;"&amp;""),#N/A),IFERROR((SUMIFS('DATA INPUT'!$D$3:$D$3000,'DATA INPUT'!$A$3:$A$3000,"&gt;="&amp;DATE(2023,8,1),'DATA INPUT'!$A$3:$A$3000,"&lt;"&amp;DATE(2023,8,31),'DATA INPUT'!$F$3:$F$3000,"&lt;&gt;*Exclude*",'DATA INPUT'!$G$3:$G$3000,"&lt;&gt;*School service*"))/(COUNTIFS('DATA INPUT'!$A$3:$A$3000,"&gt;="&amp;DATE(2023,8,1),'DATA INPUT'!$A$3:$A$3000,"&lt;"&amp;DATE(2023,8,31),'DATA INPUT'!$F$3:$F$3000,"&lt;&gt;*Exclude*",'DATA INPUT'!$G$3:$G$3000,"&lt;&gt;*School service*",'DATA INPUT'!$D$3:$D$3000,"&lt;&gt;"&amp;"")),#N/A))</f>
        <v>#N/A</v>
      </c>
      <c r="AW82" s="117" t="e">
        <f t="shared" si="25"/>
        <v>#N/A</v>
      </c>
      <c r="AX82" s="117" t="e">
        <f>IF($L$2="Yes",IFERROR((SUMIFS('DATA INPUT'!$E$3:$E$3000,'DATA INPUT'!$B$3:$B$3000,'Report Tables'!AX$1,'DATA INPUT'!$A$3:$A$3000,"&gt;="&amp;DATE(2023,8,1),'DATA INPUT'!$A$3:$A$3000,"&lt;"&amp;DATE(2023,8,31)))/COUNTIFS('DATA INPUT'!$B$3:$B$3000,'Report Tables'!AX$1,'DATA INPUT'!$A$3:$A$3000,"&gt;="&amp;DATE(2023,8,1),'DATA INPUT'!$A$3:$A$3000,"&lt;"&amp;DATE(2023,8,31)),#N/A),IFERROR((SUMIFS('DATA INPUT'!$E$3:$E$3000,'DATA INPUT'!$B$3:$B$3000,'Report Tables'!AX$1,'DATA INPUT'!$A$3:$A$3000,"&gt;="&amp;DATE(2023,8,1),'DATA INPUT'!$A$3:$A$3000,"&lt;"&amp;DATE(2023,8,31),'DATA INPUT'!$F$3:$F$3000,"&lt;&gt;*Exclude*"))/(COUNTIFS('DATA INPUT'!$B$3:$B$3000,'Report Tables'!AX$1,'DATA INPUT'!$A$3:$A$3000,"&gt;="&amp;DATE(2023,8,1),'DATA INPUT'!$A$3:$A$3000,"&lt;"&amp;DATE(2023,8,31),'DATA INPUT'!$F$3:$F$3000,"&lt;&gt;*Exclude*")),#N/A))</f>
        <v>#N/A</v>
      </c>
      <c r="AY82" s="117" t="e">
        <f>IF($L$2="Yes",IFERROR((SUMIFS('DATA INPUT'!$D$3:$D$3000,'DATA INPUT'!$B$3:$B$3000,'Report Tables'!AX$1,'DATA INPUT'!$A$3:$A$3000,"&gt;="&amp;DATE(2023,8,1),'DATA INPUT'!$A$3:$A$3000,"&lt;"&amp;DATE(2023,8,31)))/COUNTIFS('DATA INPUT'!$B$3:$B$3000,'Report Tables'!AX$1,'DATA INPUT'!$A$3:$A$3000,"&gt;="&amp;DATE(2023,8,1),'DATA INPUT'!$A$3:$A$3000,"&lt;"&amp;DATE(2023,8,31)),#N/A),IFERROR((SUMIFS('DATA INPUT'!$D$3:$D$3000,'DATA INPUT'!$B$3:$B$3000,'Report Tables'!AX$1,'DATA INPUT'!$A$3:$A$3000,"&gt;="&amp;DATE(2023,8,1),'DATA INPUT'!$A$3:$A$3000,"&lt;"&amp;DATE(2023,8,31),'DATA INPUT'!$F$3:$F$3000,"&lt;&gt;*Exclude*"))/(COUNTIFS('DATA INPUT'!$B$3:$B$3000,'Report Tables'!AX$1,'DATA INPUT'!$A$3:$A$3000,"&gt;="&amp;DATE(2023,8,1),'DATA INPUT'!$A$3:$A$3000,"&lt;"&amp;DATE(2023,8,31),'DATA INPUT'!$F$3:$F$3000,"&lt;&gt;*Exclude*")),#N/A))</f>
        <v>#N/A</v>
      </c>
      <c r="AZ82" s="117" t="e">
        <f>IF($L$2="Yes",IFERROR((SUMIFS('DATA INPUT'!$C$3:$C$3000,'DATA INPUT'!$B$3:$B$3000,'Report Tables'!AX$1,'DATA INPUT'!$A$3:$A$3000,"&gt;="&amp;DATE(2023,8,1),'DATA INPUT'!$A$3:$A$3000,"&lt;"&amp;DATE(2023,8,31)))/COUNTIFS('DATA INPUT'!$B$3:$B$3000,'Report Tables'!AX$1,'DATA INPUT'!$A$3:$A$3000,"&gt;="&amp;DATE(2023,8,1),'DATA INPUT'!$A$3:$A$3000,"&lt;"&amp;DATE(2023,8,31)),#N/A),IFERROR((SUMIFS('DATA INPUT'!$C$3:$C$3000,'DATA INPUT'!$B$3:$B$3000,'Report Tables'!AX$1,'DATA INPUT'!$A$3:$A$3000,"&gt;="&amp;DATE(2023,8,1),'DATA INPUT'!$A$3:$A$3000,"&lt;"&amp;DATE(2023,8,31),'DATA INPUT'!$F$3:$F$3000,"&lt;&gt;*Exclude*"))/(COUNTIFS('DATA INPUT'!$B$3:$B$3000,'Report Tables'!AX$1,'DATA INPUT'!$A$3:$A$3000,"&gt;="&amp;DATE(2023,8,1),'DATA INPUT'!$A$3:$A$3000,"&lt;"&amp;DATE(2023,8,31),'DATA INPUT'!$F$3:$F$3000,"&lt;&gt;*Exclude*")),#N/A))</f>
        <v>#N/A</v>
      </c>
    </row>
    <row r="83" spans="25:52" x14ac:dyDescent="0.3">
      <c r="Y83" s="149"/>
      <c r="Z83" s="149" t="s">
        <v>20</v>
      </c>
      <c r="AA83" s="136" t="e">
        <f>IF($L$2="Yes",IF(SUMIFS('DATA INPUT'!$E$3:$E$3000,'DATA INPUT'!$B$3:$B$3000,'Report Tables'!AA$1,'DATA INPUT'!$A$3:$A$3000,"&gt;="&amp;DATE(2023,9,1),'DATA INPUT'!$A$3:$A$3000,"&lt;"&amp;DATE(2023,9,31))=0,#N/A,(SUMIFS('DATA INPUT'!$E$3:$E$3000,'DATA INPUT'!$B$3:$B$3000,'Report Tables'!AA$1,'DATA INPUT'!$A$3:$A$3000,"&gt;="&amp;DATE(2023,9,1),'DATA INPUT'!$A$3:$A$3000,"&lt;"&amp;DATE(2023,9,31)))),IF(SUMIFS('DATA INPUT'!$E$3:$E$3000,'DATA INPUT'!$B$3:$B$3000,'Report Tables'!AA$1,'DATA INPUT'!$A$3:$A$3000,"&gt;="&amp;DATE(2023,9,1),'DATA INPUT'!$A$3:$A$3000,"&lt;"&amp;DATE(2023,9,31),'DATA INPUT'!$F$3:$F$3000,"&lt;&gt;*Exclude*")=0,#N/A,(SUMIFS('DATA INPUT'!$E$3:$E$3000,'DATA INPUT'!$B$3:$B$3000,'Report Tables'!AA$1,'DATA INPUT'!$A$3:$A$3000,"&gt;="&amp;DATE(2023,9,1),'DATA INPUT'!$A$3:$A$3000,"&lt;"&amp;DATE(2023,9,31),'DATA INPUT'!$F$3:$F$3000,"&lt;&gt;*Exclude*"))))</f>
        <v>#N/A</v>
      </c>
      <c r="AB83" s="136" t="e">
        <f>IF($L$2="Yes",IF(SUMIFS('DATA INPUT'!$E$3:$E$3000,'DATA INPUT'!$B$3:$B$3000,'Report Tables'!AB$1,'DATA INPUT'!$A$3:$A$3000,"&gt;="&amp;DATE(2023,9,1),'DATA INPUT'!$A$3:$A$3000,"&lt;"&amp;DATE(2023,9,31))=0,#N/A,(SUMIFS('DATA INPUT'!$E$3:$E$3000,'DATA INPUT'!$B$3:$B$3000,'Report Tables'!AB$1,'DATA INPUT'!$A$3:$A$3000,"&gt;="&amp;DATE(2023,9,1),'DATA INPUT'!$A$3:$A$3000,"&lt;"&amp;DATE(2023,9,31)))),IF(SUMIFS('DATA INPUT'!$E$3:$E$3000,'DATA INPUT'!$B$3:$B$3000,'Report Tables'!AB$1,'DATA INPUT'!$A$3:$A$3000,"&gt;="&amp;DATE(2023,9,1),'DATA INPUT'!$A$3:$A$3000,"&lt;"&amp;DATE(2023,9,31),'DATA INPUT'!$F$3:$F$3000,"&lt;&gt;*Exclude*")=0,#N/A,(SUMIFS('DATA INPUT'!$E$3:$E$3000,'DATA INPUT'!$B$3:$B$3000,'Report Tables'!AB$1,'DATA INPUT'!$A$3:$A$3000,"&gt;="&amp;DATE(2023,9,1),'DATA INPUT'!$A$3:$A$3000,"&lt;"&amp;DATE(2023,9,31),'DATA INPUT'!$F$3:$F$3000,"&lt;&gt;*Exclude*"))))</f>
        <v>#N/A</v>
      </c>
      <c r="AC83" s="136" t="e">
        <f>IF($L$2="Yes",IF(SUMIFS('DATA INPUT'!$E$3:$E$3000,'DATA INPUT'!$B$3:$B$3000,'Report Tables'!AC$1,'DATA INPUT'!$A$3:$A$3000,"&gt;="&amp;DATE(2023,9,1),'DATA INPUT'!$A$3:$A$3000,"&lt;"&amp;DATE(2023,9,31))=0,#N/A,(SUMIFS('DATA INPUT'!$E$3:$E$3000,'DATA INPUT'!$B$3:$B$3000,'Report Tables'!AC$1,'DATA INPUT'!$A$3:$A$3000,"&gt;="&amp;DATE(2023,9,1),'DATA INPUT'!$A$3:$A$3000,"&lt;"&amp;DATE(2023,9,31)))),IF(SUMIFS('DATA INPUT'!$E$3:$E$3000,'DATA INPUT'!$B$3:$B$3000,'Report Tables'!AC$1,'DATA INPUT'!$A$3:$A$3000,"&gt;="&amp;DATE(2023,9,1),'DATA INPUT'!$A$3:$A$3000,"&lt;"&amp;DATE(2023,9,31),'DATA INPUT'!$F$3:$F$3000,"&lt;&gt;*Exclude*")=0,#N/A,(SUMIFS('DATA INPUT'!$E$3:$E$3000,'DATA INPUT'!$B$3:$B$3000,'Report Tables'!AC$1,'DATA INPUT'!$A$3:$A$3000,"&gt;="&amp;DATE(2023,9,1),'DATA INPUT'!$A$3:$A$3000,"&lt;"&amp;DATE(2023,9,31),'DATA INPUT'!$F$3:$F$3000,"&lt;&gt;*Exclude*"))))</f>
        <v>#N/A</v>
      </c>
      <c r="AD83" s="136" t="e">
        <f>IF($L$2="Yes",IF(SUMIFS('DATA INPUT'!$E$3:$E$3000,'DATA INPUT'!$B$3:$B$3000,'Report Tables'!AD$1,'DATA INPUT'!$A$3:$A$3000,"&gt;="&amp;DATE(2023,9,1),'DATA INPUT'!$A$3:$A$3000,"&lt;"&amp;DATE(2023,9,31))=0,#N/A,(SUMIFS('DATA INPUT'!$E$3:$E$3000,'DATA INPUT'!$B$3:$B$3000,'Report Tables'!AD$1,'DATA INPUT'!$A$3:$A$3000,"&gt;="&amp;DATE(2023,9,1),'DATA INPUT'!$A$3:$A$3000,"&lt;"&amp;DATE(2023,9,31)))),IF(SUMIFS('DATA INPUT'!$E$3:$E$3000,'DATA INPUT'!$B$3:$B$3000,'Report Tables'!AD$1,'DATA INPUT'!$A$3:$A$3000,"&gt;="&amp;DATE(2023,9,1),'DATA INPUT'!$A$3:$A$3000,"&lt;"&amp;DATE(2023,9,31),'DATA INPUT'!$F$3:$F$3000,"&lt;&gt;*Exclude*")=0,#N/A,(SUMIFS('DATA INPUT'!$E$3:$E$3000,'DATA INPUT'!$B$3:$B$3000,'Report Tables'!AD$1,'DATA INPUT'!$A$3:$A$3000,"&gt;="&amp;DATE(2023,9,1),'DATA INPUT'!$A$3:$A$3000,"&lt;"&amp;DATE(2023,9,31),'DATA INPUT'!$F$3:$F$3000,"&lt;&gt;*Exclude*"))))</f>
        <v>#N/A</v>
      </c>
      <c r="AE83" s="136" t="e">
        <f>IF($L$2="Yes",IF(SUMIFS('DATA INPUT'!$E$3:$E$3000,'DATA INPUT'!$B$3:$B$3000,'Report Tables'!AE$1,'DATA INPUT'!$A$3:$A$3000,"&gt;="&amp;DATE(2023,9,1),'DATA INPUT'!$A$3:$A$3000,"&lt;"&amp;DATE(2023,9,31))=0,#N/A,(SUMIFS('DATA INPUT'!$E$3:$E$3000,'DATA INPUT'!$B$3:$B$3000,'Report Tables'!AE$1,'DATA INPUT'!$A$3:$A$3000,"&gt;="&amp;DATE(2023,9,1),'DATA INPUT'!$A$3:$A$3000,"&lt;"&amp;DATE(2023,9,31)))),IF(SUMIFS('DATA INPUT'!$E$3:$E$3000,'DATA INPUT'!$B$3:$B$3000,'Report Tables'!AE$1,'DATA INPUT'!$A$3:$A$3000,"&gt;="&amp;DATE(2023,9,1),'DATA INPUT'!$A$3:$A$3000,"&lt;"&amp;DATE(2023,9,31),'DATA INPUT'!$F$3:$F$3000,"&lt;&gt;*Exclude*")=0,#N/A,(SUMIFS('DATA INPUT'!$E$3:$E$3000,'DATA INPUT'!$B$3:$B$3000,'Report Tables'!AE$1,'DATA INPUT'!$A$3:$A$3000,"&gt;="&amp;DATE(2023,9,1),'DATA INPUT'!$A$3:$A$3000,"&lt;"&amp;DATE(2023,9,31),'DATA INPUT'!$F$3:$F$3000,"&lt;&gt;*Exclude*"))))</f>
        <v>#N/A</v>
      </c>
      <c r="AF83" s="136" t="e">
        <f>IF($L$2="Yes",IF(SUMIFS('DATA INPUT'!$E$3:$E$3000,'DATA INPUT'!$B$3:$B$3000,'Report Tables'!AF$1,'DATA INPUT'!$A$3:$A$3000,"&gt;="&amp;DATE(2023,9,1),'DATA INPUT'!$A$3:$A$3000,"&lt;"&amp;DATE(2023,9,31))=0,#N/A,(SUMIFS('DATA INPUT'!$E$3:$E$3000,'DATA INPUT'!$B$3:$B$3000,'Report Tables'!AF$1,'DATA INPUT'!$A$3:$A$3000,"&gt;="&amp;DATE(2023,9,1),'DATA INPUT'!$A$3:$A$3000,"&lt;"&amp;DATE(2023,9,31)))),IF(SUMIFS('DATA INPUT'!$E$3:$E$3000,'DATA INPUT'!$B$3:$B$3000,'Report Tables'!AF$1,'DATA INPUT'!$A$3:$A$3000,"&gt;="&amp;DATE(2023,9,1),'DATA INPUT'!$A$3:$A$3000,"&lt;"&amp;DATE(2023,9,31),'DATA INPUT'!$F$3:$F$3000,"&lt;&gt;*Exclude*")=0,#N/A,(SUMIFS('DATA INPUT'!$E$3:$E$3000,'DATA INPUT'!$B$3:$B$3000,'Report Tables'!AF$1,'DATA INPUT'!$A$3:$A$3000,"&gt;="&amp;DATE(2023,9,1),'DATA INPUT'!$A$3:$A$3000,"&lt;"&amp;DATE(2023,9,31),'DATA INPUT'!$F$3:$F$3000,"&lt;&gt;*Exclude*"))))</f>
        <v>#N/A</v>
      </c>
      <c r="AG83" s="136" t="e">
        <f>IF($L$2="Yes",IF(SUMIFS('DATA INPUT'!$E$3:$E$3000,'DATA INPUT'!$B$3:$B$3000,'Report Tables'!AG$1,'DATA INPUT'!$A$3:$A$3000,"&gt;="&amp;DATE(2023,9,1),'DATA INPUT'!$A$3:$A$3000,"&lt;"&amp;DATE(2023,9,31))=0,#N/A,(SUMIFS('DATA INPUT'!$E$3:$E$3000,'DATA INPUT'!$B$3:$B$3000,'Report Tables'!AG$1,'DATA INPUT'!$A$3:$A$3000,"&gt;="&amp;DATE(2023,9,1),'DATA INPUT'!$A$3:$A$3000,"&lt;"&amp;DATE(2023,9,31)))),IF(SUMIFS('DATA INPUT'!$E$3:$E$3000,'DATA INPUT'!$B$3:$B$3000,'Report Tables'!AG$1,'DATA INPUT'!$A$3:$A$3000,"&gt;="&amp;DATE(2023,9,1),'DATA INPUT'!$A$3:$A$3000,"&lt;"&amp;DATE(2023,9,31),'DATA INPUT'!$F$3:$F$3000,"&lt;&gt;*Exclude*")=0,#N/A,(SUMIFS('DATA INPUT'!$E$3:$E$3000,'DATA INPUT'!$B$3:$B$3000,'Report Tables'!AG$1,'DATA INPUT'!$A$3:$A$3000,"&gt;="&amp;DATE(2023,9,1),'DATA INPUT'!$A$3:$A$3000,"&lt;"&amp;DATE(2023,9,31),'DATA INPUT'!$F$3:$F$3000,"&lt;&gt;*Exclude*"))))</f>
        <v>#N/A</v>
      </c>
      <c r="AH83" s="136" t="e">
        <f>IF($L$2="Yes",IF(SUMIFS('DATA INPUT'!$E$3:$E$3000,'DATA INPUT'!$B$3:$B$3000,'Report Tables'!AH$1,'DATA INPUT'!$A$3:$A$3000,"&gt;="&amp;DATE(2023,9,1),'DATA INPUT'!$A$3:$A$3000,"&lt;"&amp;DATE(2023,9,31))=0,#N/A,(SUMIFS('DATA INPUT'!$E$3:$E$3000,'DATA INPUT'!$B$3:$B$3000,'Report Tables'!AH$1,'DATA INPUT'!$A$3:$A$3000,"&gt;="&amp;DATE(2023,9,1),'DATA INPUT'!$A$3:$A$3000,"&lt;"&amp;DATE(2023,9,31)))),IF(SUMIFS('DATA INPUT'!$E$3:$E$3000,'DATA INPUT'!$B$3:$B$3000,'Report Tables'!AH$1,'DATA INPUT'!$A$3:$A$3000,"&gt;="&amp;DATE(2023,9,1),'DATA INPUT'!$A$3:$A$3000,"&lt;"&amp;DATE(2023,9,31),'DATA INPUT'!$F$3:$F$3000,"&lt;&gt;*Exclude*")=0,#N/A,(SUMIFS('DATA INPUT'!$E$3:$E$3000,'DATA INPUT'!$B$3:$B$3000,'Report Tables'!AH$1,'DATA INPUT'!$A$3:$A$3000,"&gt;="&amp;DATE(2023,9,1),'DATA INPUT'!$A$3:$A$3000,"&lt;"&amp;DATE(2023,9,31),'DATA INPUT'!$F$3:$F$3000,"&lt;&gt;*Exclude*"))))</f>
        <v>#N/A</v>
      </c>
      <c r="AI83" s="136" t="e">
        <f t="shared" si="23"/>
        <v>#N/A</v>
      </c>
      <c r="AJ83" s="136" t="e">
        <f>IF($L$2="Yes",IF(SUMIFS('DATA INPUT'!$D$3:$D$3000,'DATA INPUT'!$A$3:$A$3000,"&gt;="&amp;DATE(2023,9,1),'DATA INPUT'!$A$3:$A$3000,"&lt;"&amp;DATE(2023,9,31),'DATA INPUT'!$G$3:$G$3000,"&lt;&gt;*School service*")=0,#N/A,(SUMIFS('DATA INPUT'!$D$3:$D$3000,'DATA INPUT'!$A$3:$A$3000,"&gt;="&amp;DATE(2023,9,1),'DATA INPUT'!$A$3:$A$3000,"&lt;"&amp;DATE(2023,9,31),'DATA INPUT'!$G$3:$G$3000,"&lt;&gt;*School service*"))),IF(SUMIFS('DATA INPUT'!$D$3:$D$3000,'DATA INPUT'!$A$3:$A$3000,"&gt;="&amp;DATE(2023,9,1),'DATA INPUT'!$A$3:$A$3000,"&lt;"&amp;DATE(2023,9,31),'DATA INPUT'!$F$3:$F$3000,"&lt;&gt;*Exclude*",'DATA INPUT'!$G$3:$G$3000,"&lt;&gt;*School service*")=0,#N/A,(SUMIFS('DATA INPUT'!$D$3:$D$3000,'DATA INPUT'!$A$3:$A$3000,"&gt;="&amp;DATE(2023,9,1),'DATA INPUT'!$A$3:$A$3000,"&lt;"&amp;DATE(2023,9,31),'DATA INPUT'!$F$3:$F$3000,"&lt;&gt;*Exclude*",'DATA INPUT'!$G$3:$G$3000,"&lt;&gt;*School service*"))))</f>
        <v>#N/A</v>
      </c>
      <c r="AK83" s="136" t="e">
        <f>AI83-AJ83</f>
        <v>#N/A</v>
      </c>
      <c r="AM83" s="117" t="e">
        <f>IF($L$2="Yes",IFERROR((SUMIFS('DATA INPUT'!$E$3:$E$3000,'DATA INPUT'!$B$3:$B$3000,'Report Tables'!AM$1,'DATA INPUT'!$A$3:$A$3000,"&gt;="&amp;DATE(2023,9,1),'DATA INPUT'!$A$3:$A$3000,"&lt;"&amp;DATE(2023,9,31)))/COUNTIFS('DATA INPUT'!$B$3:$B$3000,'Report Tables'!AM$1,'DATA INPUT'!$A$3:$A$3000,"&gt;="&amp;DATE(2023,9,1),'DATA INPUT'!$A$3:$A$3000,"&lt;"&amp;DATE(2023,9,31)),#N/A),IFERROR((SUMIFS('DATA INPUT'!$E$3:$E$3000,'DATA INPUT'!$B$3:$B$3000,'Report Tables'!AM$1,'DATA INPUT'!$A$3:$A$3000,"&gt;="&amp;DATE(2023,9,1),'DATA INPUT'!$A$3:$A$3000,"&lt;"&amp;DATE(2023,9,31),'DATA INPUT'!$F$3:$F$3000,"&lt;&gt;*Exclude*"))/(COUNTIFS('DATA INPUT'!$B$3:$B$3000,'Report Tables'!AM$1,'DATA INPUT'!$A$3:$A$3000,"&gt;="&amp;DATE(2023,9,1),'DATA INPUT'!$A$3:$A$3000,"&lt;"&amp;DATE(2023,9,31),'DATA INPUT'!$F$3:$F$3000,"&lt;&gt;*Exclude*")),#N/A))</f>
        <v>#N/A</v>
      </c>
      <c r="AN83" s="117" t="e">
        <f>IF($L$2="Yes",IFERROR((SUMIFS('DATA INPUT'!$E$3:$E$3000,'DATA INPUT'!$B$3:$B$3000,'Report Tables'!AN$1,'DATA INPUT'!$A$3:$A$3000,"&gt;="&amp;DATE(2023,9,1),'DATA INPUT'!$A$3:$A$3000,"&lt;"&amp;DATE(2023,9,31)))/COUNTIFS('DATA INPUT'!$B$3:$B$3000,'Report Tables'!AN$1,'DATA INPUT'!$A$3:$A$3000,"&gt;="&amp;DATE(2023,9,1),'DATA INPUT'!$A$3:$A$3000,"&lt;"&amp;DATE(2023,9,31)),#N/A),IFERROR((SUMIFS('DATA INPUT'!$E$3:$E$3000,'DATA INPUT'!$B$3:$B$3000,'Report Tables'!AN$1,'DATA INPUT'!$A$3:$A$3000,"&gt;="&amp;DATE(2023,9,1),'DATA INPUT'!$A$3:$A$3000,"&lt;"&amp;DATE(2023,9,31),'DATA INPUT'!$F$3:$F$3000,"&lt;&gt;*Exclude*"))/(COUNTIFS('DATA INPUT'!$B$3:$B$3000,'Report Tables'!AN$1,'DATA INPUT'!$A$3:$A$3000,"&gt;="&amp;DATE(2023,9,1),'DATA INPUT'!$A$3:$A$3000,"&lt;"&amp;DATE(2023,9,31),'DATA INPUT'!$F$3:$F$3000,"&lt;&gt;*Exclude*")),#N/A))</f>
        <v>#N/A</v>
      </c>
      <c r="AO83" s="117" t="e">
        <f>IF($L$2="Yes",IFERROR((SUMIFS('DATA INPUT'!$E$3:$E$3000,'DATA INPUT'!$B$3:$B$3000,'Report Tables'!AO$1,'DATA INPUT'!$A$3:$A$3000,"&gt;="&amp;DATE(2023,9,1),'DATA INPUT'!$A$3:$A$3000,"&lt;"&amp;DATE(2023,9,31)))/COUNTIFS('DATA INPUT'!$B$3:$B$3000,'Report Tables'!AO$1,'DATA INPUT'!$A$3:$A$3000,"&gt;="&amp;DATE(2023,9,1),'DATA INPUT'!$A$3:$A$3000,"&lt;"&amp;DATE(2023,9,31)),#N/A),IFERROR((SUMIFS('DATA INPUT'!$E$3:$E$3000,'DATA INPUT'!$B$3:$B$3000,'Report Tables'!AO$1,'DATA INPUT'!$A$3:$A$3000,"&gt;="&amp;DATE(2023,9,1),'DATA INPUT'!$A$3:$A$3000,"&lt;"&amp;DATE(2023,9,31),'DATA INPUT'!$F$3:$F$3000,"&lt;&gt;*Exclude*"))/(COUNTIFS('DATA INPUT'!$B$3:$B$3000,'Report Tables'!AO$1,'DATA INPUT'!$A$3:$A$3000,"&gt;="&amp;DATE(2023,9,1),'DATA INPUT'!$A$3:$A$3000,"&lt;"&amp;DATE(2023,9,31),'DATA INPUT'!$F$3:$F$3000,"&lt;&gt;*Exclude*")),#N/A))</f>
        <v>#N/A</v>
      </c>
      <c r="AP83" s="117" t="e">
        <f>IF($L$2="Yes",IFERROR((SUMIFS('DATA INPUT'!$E$3:$E$3000,'DATA INPUT'!$B$3:$B$3000,'Report Tables'!AP$1,'DATA INPUT'!$A$3:$A$3000,"&gt;="&amp;DATE(2023,9,1),'DATA INPUT'!$A$3:$A$3000,"&lt;"&amp;DATE(2023,9,31)))/COUNTIFS('DATA INPUT'!$B$3:$B$3000,'Report Tables'!AP$1,'DATA INPUT'!$A$3:$A$3000,"&gt;="&amp;DATE(2023,9,1),'DATA INPUT'!$A$3:$A$3000,"&lt;"&amp;DATE(2023,9,31)),#N/A),IFERROR((SUMIFS('DATA INPUT'!$E$3:$E$3000,'DATA INPUT'!$B$3:$B$3000,'Report Tables'!AP$1,'DATA INPUT'!$A$3:$A$3000,"&gt;="&amp;DATE(2023,9,1),'DATA INPUT'!$A$3:$A$3000,"&lt;"&amp;DATE(2023,9,31),'DATA INPUT'!$F$3:$F$3000,"&lt;&gt;*Exclude*"))/(COUNTIFS('DATA INPUT'!$B$3:$B$3000,'Report Tables'!AP$1,'DATA INPUT'!$A$3:$A$3000,"&gt;="&amp;DATE(2023,9,1),'DATA INPUT'!$A$3:$A$3000,"&lt;"&amp;DATE(2023,9,31),'DATA INPUT'!$F$3:$F$3000,"&lt;&gt;*Exclude*")),#N/A))</f>
        <v>#N/A</v>
      </c>
      <c r="AQ83" s="117" t="e">
        <f>IF($L$2="Yes",IFERROR((SUMIFS('DATA INPUT'!$E$3:$E$3000,'DATA INPUT'!$B$3:$B$3000,'Report Tables'!AQ$1,'DATA INPUT'!$A$3:$A$3000,"&gt;="&amp;DATE(2023,9,1),'DATA INPUT'!$A$3:$A$3000,"&lt;"&amp;DATE(2023,9,31)))/COUNTIFS('DATA INPUT'!$B$3:$B$3000,'Report Tables'!AQ$1,'DATA INPUT'!$A$3:$A$3000,"&gt;="&amp;DATE(2023,9,1),'DATA INPUT'!$A$3:$A$3000,"&lt;"&amp;DATE(2023,9,31)),#N/A),IFERROR((SUMIFS('DATA INPUT'!$E$3:$E$3000,'DATA INPUT'!$B$3:$B$3000,'Report Tables'!AQ$1,'DATA INPUT'!$A$3:$A$3000,"&gt;="&amp;DATE(2023,9,1),'DATA INPUT'!$A$3:$A$3000,"&lt;"&amp;DATE(2023,9,31),'DATA INPUT'!$F$3:$F$3000,"&lt;&gt;*Exclude*"))/(COUNTIFS('DATA INPUT'!$B$3:$B$3000,'Report Tables'!AQ$1,'DATA INPUT'!$A$3:$A$3000,"&gt;="&amp;DATE(2023,9,1),'DATA INPUT'!$A$3:$A$3000,"&lt;"&amp;DATE(2023,9,31),'DATA INPUT'!$F$3:$F$3000,"&lt;&gt;*Exclude*")),#N/A))</f>
        <v>#N/A</v>
      </c>
      <c r="AR83" s="117" t="e">
        <f>IF($L$2="Yes",IFERROR((SUMIFS('DATA INPUT'!$E$3:$E$3000,'DATA INPUT'!$B$3:$B$3000,'Report Tables'!AR$1,'DATA INPUT'!$A$3:$A$3000,"&gt;="&amp;DATE(2023,9,1),'DATA INPUT'!$A$3:$A$3000,"&lt;"&amp;DATE(2023,9,31)))/COUNTIFS('DATA INPUT'!$B$3:$B$3000,'Report Tables'!AR$1,'DATA INPUT'!$A$3:$A$3000,"&gt;="&amp;DATE(2023,9,1),'DATA INPUT'!$A$3:$A$3000,"&lt;"&amp;DATE(2023,9,31)),#N/A),IFERROR((SUMIFS('DATA INPUT'!$E$3:$E$3000,'DATA INPUT'!$B$3:$B$3000,'Report Tables'!AR$1,'DATA INPUT'!$A$3:$A$3000,"&gt;="&amp;DATE(2023,9,1),'DATA INPUT'!$A$3:$A$3000,"&lt;"&amp;DATE(2023,9,31),'DATA INPUT'!$F$3:$F$3000,"&lt;&gt;*Exclude*"))/(COUNTIFS('DATA INPUT'!$B$3:$B$3000,'Report Tables'!AR$1,'DATA INPUT'!$A$3:$A$3000,"&gt;="&amp;DATE(2023,9,1),'DATA INPUT'!$A$3:$A$3000,"&lt;"&amp;DATE(2023,9,31),'DATA INPUT'!$F$3:$F$3000,"&lt;&gt;*Exclude*")),#N/A))</f>
        <v>#N/A</v>
      </c>
      <c r="AS83" s="117" t="e">
        <f>IF($L$2="Yes",IFERROR((SUMIFS('DATA INPUT'!$E$3:$E$3000,'DATA INPUT'!$B$3:$B$3000,'Report Tables'!AS$1,'DATA INPUT'!$A$3:$A$3000,"&gt;="&amp;DATE(2023,9,1),'DATA INPUT'!$A$3:$A$3000,"&lt;"&amp;DATE(2023,9,31)))/COUNTIFS('DATA INPUT'!$B$3:$B$3000,'Report Tables'!AS$1,'DATA INPUT'!$A$3:$A$3000,"&gt;="&amp;DATE(2023,9,1),'DATA INPUT'!$A$3:$A$3000,"&lt;"&amp;DATE(2023,9,31)),#N/A),IFERROR((SUMIFS('DATA INPUT'!$E$3:$E$3000,'DATA INPUT'!$B$3:$B$3000,'Report Tables'!AS$1,'DATA INPUT'!$A$3:$A$3000,"&gt;="&amp;DATE(2023,9,1),'DATA INPUT'!$A$3:$A$3000,"&lt;"&amp;DATE(2023,9,31),'DATA INPUT'!$F$3:$F$3000,"&lt;&gt;*Exclude*"))/(COUNTIFS('DATA INPUT'!$B$3:$B$3000,'Report Tables'!AS$1,'DATA INPUT'!$A$3:$A$3000,"&gt;="&amp;DATE(2023,9,1),'DATA INPUT'!$A$3:$A$3000,"&lt;"&amp;DATE(2023,9,31),'DATA INPUT'!$F$3:$F$3000,"&lt;&gt;*Exclude*")),#N/A))</f>
        <v>#N/A</v>
      </c>
      <c r="AT83" s="117" t="e">
        <f>IF($L$2="Yes",IFERROR((SUMIFS('DATA INPUT'!$E$3:$E$3000,'DATA INPUT'!$B$3:$B$3000,'Report Tables'!AT$1,'DATA INPUT'!$A$3:$A$3000,"&gt;="&amp;DATE(2023,9,1),'DATA INPUT'!$A$3:$A$3000,"&lt;"&amp;DATE(2023,9,31)))/COUNTIFS('DATA INPUT'!$B$3:$B$3000,'Report Tables'!AT$1,'DATA INPUT'!$A$3:$A$3000,"&gt;="&amp;DATE(2023,9,1),'DATA INPUT'!$A$3:$A$3000,"&lt;"&amp;DATE(2023,9,31)),#N/A),IFERROR((SUMIFS('DATA INPUT'!$E$3:$E$3000,'DATA INPUT'!$B$3:$B$3000,'Report Tables'!AT$1,'DATA INPUT'!$A$3:$A$3000,"&gt;="&amp;DATE(2023,9,1),'DATA INPUT'!$A$3:$A$3000,"&lt;"&amp;DATE(2023,9,31),'DATA INPUT'!$F$3:$F$3000,"&lt;&gt;*Exclude*"))/(COUNTIFS('DATA INPUT'!$B$3:$B$3000,'Report Tables'!AT$1,'DATA INPUT'!$A$3:$A$3000,"&gt;="&amp;DATE(2023,9,1),'DATA INPUT'!$A$3:$A$3000,"&lt;"&amp;DATE(2023,9,31),'DATA INPUT'!$F$3:$F$3000,"&lt;&gt;*Exclude*")),#N/A))</f>
        <v>#N/A</v>
      </c>
      <c r="AU83" s="117" t="e">
        <f t="shared" si="24"/>
        <v>#N/A</v>
      </c>
      <c r="AV83" s="117" t="e">
        <f>IF($L$2="Yes",IFERROR((SUMIFS('DATA INPUT'!$D$3:$D$3000,'DATA INPUT'!$A$3:$A$3000,"&gt;="&amp;DATE(2023,9,1),'DATA INPUT'!$A$3:$A$3000,"&lt;"&amp;DATE(2023,9,31),'DATA INPUT'!$G$3:$G$3000,"&lt;&gt;*School service*"))/COUNTIFS('DATA INPUT'!$A$3:$A$3000,"&gt;="&amp;DATE(2023,9,1),'DATA INPUT'!$A$3:$A$3000,"&lt;"&amp;DATE(2023,9,31),'DATA INPUT'!$G$3:$G$3000,"&lt;&gt;*School service*",'DATA INPUT'!$D$3:$D$3000,"&lt;&gt;"&amp;""),#N/A),IFERROR((SUMIFS('DATA INPUT'!$D$3:$D$3000,'DATA INPUT'!$A$3:$A$3000,"&gt;="&amp;DATE(2023,9,1),'DATA INPUT'!$A$3:$A$3000,"&lt;"&amp;DATE(2023,9,31),'DATA INPUT'!$F$3:$F$3000,"&lt;&gt;*Exclude*",'DATA INPUT'!$G$3:$G$3000,"&lt;&gt;*School service*"))/(COUNTIFS('DATA INPUT'!$A$3:$A$3000,"&gt;="&amp;DATE(2023,9,1),'DATA INPUT'!$A$3:$A$3000,"&lt;"&amp;DATE(2023,9,31),'DATA INPUT'!$F$3:$F$3000,"&lt;&gt;*Exclude*",'DATA INPUT'!$G$3:$G$3000,"&lt;&gt;*School service*",'DATA INPUT'!$D$3:$D$3000,"&lt;&gt;"&amp;"")),#N/A))</f>
        <v>#N/A</v>
      </c>
      <c r="AW83" s="117" t="e">
        <f t="shared" si="25"/>
        <v>#N/A</v>
      </c>
      <c r="AX83" s="117" t="e">
        <f>IF($L$2="Yes",IFERROR((SUMIFS('DATA INPUT'!$E$3:$E$3000,'DATA INPUT'!$B$3:$B$3000,'Report Tables'!AX$1,'DATA INPUT'!$A$3:$A$3000,"&gt;="&amp;DATE(2023,9,1),'DATA INPUT'!$A$3:$A$3000,"&lt;"&amp;DATE(2023,9,31)))/COUNTIFS('DATA INPUT'!$B$3:$B$3000,'Report Tables'!AX$1,'DATA INPUT'!$A$3:$A$3000,"&gt;="&amp;DATE(2023,9,1),'DATA INPUT'!$A$3:$A$3000,"&lt;"&amp;DATE(2023,9,31)),#N/A),IFERROR((SUMIFS('DATA INPUT'!$E$3:$E$3000,'DATA INPUT'!$B$3:$B$3000,'Report Tables'!AX$1,'DATA INPUT'!$A$3:$A$3000,"&gt;="&amp;DATE(2023,9,1),'DATA INPUT'!$A$3:$A$3000,"&lt;"&amp;DATE(2023,9,31),'DATA INPUT'!$F$3:$F$3000,"&lt;&gt;*Exclude*"))/(COUNTIFS('DATA INPUT'!$B$3:$B$3000,'Report Tables'!AX$1,'DATA INPUT'!$A$3:$A$3000,"&gt;="&amp;DATE(2023,9,1),'DATA INPUT'!$A$3:$A$3000,"&lt;"&amp;DATE(2023,9,31),'DATA INPUT'!$F$3:$F$3000,"&lt;&gt;*Exclude*")),#N/A))</f>
        <v>#N/A</v>
      </c>
      <c r="AY83" s="117" t="e">
        <f>IF($L$2="Yes",IFERROR((SUMIFS('DATA INPUT'!$D$3:$D$3000,'DATA INPUT'!$B$3:$B$3000,'Report Tables'!AX$1,'DATA INPUT'!$A$3:$A$3000,"&gt;="&amp;DATE(2023,9,1),'DATA INPUT'!$A$3:$A$3000,"&lt;"&amp;DATE(2023,9,31)))/COUNTIFS('DATA INPUT'!$B$3:$B$3000,'Report Tables'!AX$1,'DATA INPUT'!$A$3:$A$3000,"&gt;="&amp;DATE(2023,9,1),'DATA INPUT'!$A$3:$A$3000,"&lt;"&amp;DATE(2023,9,31)),#N/A),IFERROR((SUMIFS('DATA INPUT'!$D$3:$D$3000,'DATA INPUT'!$B$3:$B$3000,'Report Tables'!AX$1,'DATA INPUT'!$A$3:$A$3000,"&gt;="&amp;DATE(2023,9,1),'DATA INPUT'!$A$3:$A$3000,"&lt;"&amp;DATE(2023,9,31),'DATA INPUT'!$F$3:$F$3000,"&lt;&gt;*Exclude*"))/(COUNTIFS('DATA INPUT'!$B$3:$B$3000,'Report Tables'!AX$1,'DATA INPUT'!$A$3:$A$3000,"&gt;="&amp;DATE(2023,9,1),'DATA INPUT'!$A$3:$A$3000,"&lt;"&amp;DATE(2023,9,31),'DATA INPUT'!$F$3:$F$3000,"&lt;&gt;*Exclude*")),#N/A))</f>
        <v>#N/A</v>
      </c>
      <c r="AZ83" s="117" t="e">
        <f>IF($L$2="Yes",IFERROR((SUMIFS('DATA INPUT'!$C$3:$C$3000,'DATA INPUT'!$B$3:$B$3000,'Report Tables'!AX$1,'DATA INPUT'!$A$3:$A$3000,"&gt;="&amp;DATE(2023,9,1),'DATA INPUT'!$A$3:$A$3000,"&lt;"&amp;DATE(2023,9,31)))/COUNTIFS('DATA INPUT'!$B$3:$B$3000,'Report Tables'!AX$1,'DATA INPUT'!$A$3:$A$3000,"&gt;="&amp;DATE(2023,9,1),'DATA INPUT'!$A$3:$A$3000,"&lt;"&amp;DATE(2023,9,31)),#N/A),IFERROR((SUMIFS('DATA INPUT'!$C$3:$C$3000,'DATA INPUT'!$B$3:$B$3000,'Report Tables'!AX$1,'DATA INPUT'!$A$3:$A$3000,"&gt;="&amp;DATE(2023,9,1),'DATA INPUT'!$A$3:$A$3000,"&lt;"&amp;DATE(2023,9,31),'DATA INPUT'!$F$3:$F$3000,"&lt;&gt;*Exclude*"))/(COUNTIFS('DATA INPUT'!$B$3:$B$3000,'Report Tables'!AX$1,'DATA INPUT'!$A$3:$A$3000,"&gt;="&amp;DATE(2023,9,1),'DATA INPUT'!$A$3:$A$3000,"&lt;"&amp;DATE(2023,9,31),'DATA INPUT'!$F$3:$F$3000,"&lt;&gt;*Exclude*")),#N/A))</f>
        <v>#N/A</v>
      </c>
    </row>
    <row r="84" spans="25:52" x14ac:dyDescent="0.3">
      <c r="Y84" s="149"/>
      <c r="Z84" s="149" t="s">
        <v>21</v>
      </c>
      <c r="AA84" s="136" t="e">
        <f>IF($L$2="Yes",IF(SUMIFS('DATA INPUT'!$E$3:$E$3000,'DATA INPUT'!$B$3:$B$3000,'Report Tables'!AA$1,'DATA INPUT'!$A$3:$A$3000,"&gt;="&amp;DATE(2023,10,1),'DATA INPUT'!$A$3:$A$3000,"&lt;"&amp;DATE(2023,10,31))=0,#N/A,(SUMIFS('DATA INPUT'!$E$3:$E$3000,'DATA INPUT'!$B$3:$B$3000,'Report Tables'!AA$1,'DATA INPUT'!$A$3:$A$3000,"&gt;="&amp;DATE(2023,10,1),'DATA INPUT'!$A$3:$A$3000,"&lt;"&amp;DATE(2023,10,31)))),IF(SUMIFS('DATA INPUT'!$E$3:$E$3000,'DATA INPUT'!$B$3:$B$3000,'Report Tables'!AA$1,'DATA INPUT'!$A$3:$A$3000,"&gt;="&amp;DATE(2023,10,1),'DATA INPUT'!$A$3:$A$3000,"&lt;"&amp;DATE(2023,10,31),'DATA INPUT'!$F$3:$F$3000,"&lt;&gt;*Exclude*")=0,#N/A,(SUMIFS('DATA INPUT'!$E$3:$E$3000,'DATA INPUT'!$B$3:$B$3000,'Report Tables'!AA$1,'DATA INPUT'!$A$3:$A$3000,"&gt;="&amp;DATE(2023,10,1),'DATA INPUT'!$A$3:$A$3000,"&lt;"&amp;DATE(2023,10,31),'DATA INPUT'!$F$3:$F$3000,"&lt;&gt;*Exclude*"))))</f>
        <v>#N/A</v>
      </c>
      <c r="AB84" s="136" t="e">
        <f>IF($L$2="Yes",IF(SUMIFS('DATA INPUT'!$E$3:$E$3000,'DATA INPUT'!$B$3:$B$3000,'Report Tables'!AB$1,'DATA INPUT'!$A$3:$A$3000,"&gt;="&amp;DATE(2023,10,1),'DATA INPUT'!$A$3:$A$3000,"&lt;"&amp;DATE(2023,10,31))=0,#N/A,(SUMIFS('DATA INPUT'!$E$3:$E$3000,'DATA INPUT'!$B$3:$B$3000,'Report Tables'!AB$1,'DATA INPUT'!$A$3:$A$3000,"&gt;="&amp;DATE(2023,10,1),'DATA INPUT'!$A$3:$A$3000,"&lt;"&amp;DATE(2023,10,31)))),IF(SUMIFS('DATA INPUT'!$E$3:$E$3000,'DATA INPUT'!$B$3:$B$3000,'Report Tables'!AB$1,'DATA INPUT'!$A$3:$A$3000,"&gt;="&amp;DATE(2023,10,1),'DATA INPUT'!$A$3:$A$3000,"&lt;"&amp;DATE(2023,10,31),'DATA INPUT'!$F$3:$F$3000,"&lt;&gt;*Exclude*")=0,#N/A,(SUMIFS('DATA INPUT'!$E$3:$E$3000,'DATA INPUT'!$B$3:$B$3000,'Report Tables'!AB$1,'DATA INPUT'!$A$3:$A$3000,"&gt;="&amp;DATE(2023,10,1),'DATA INPUT'!$A$3:$A$3000,"&lt;"&amp;DATE(2023,10,31),'DATA INPUT'!$F$3:$F$3000,"&lt;&gt;*Exclude*"))))</f>
        <v>#N/A</v>
      </c>
      <c r="AC84" s="136" t="e">
        <f>IF($L$2="Yes",IF(SUMIFS('DATA INPUT'!$E$3:$E$3000,'DATA INPUT'!$B$3:$B$3000,'Report Tables'!AC$1,'DATA INPUT'!$A$3:$A$3000,"&gt;="&amp;DATE(2023,10,1),'DATA INPUT'!$A$3:$A$3000,"&lt;"&amp;DATE(2023,10,31))=0,#N/A,(SUMIFS('DATA INPUT'!$E$3:$E$3000,'DATA INPUT'!$B$3:$B$3000,'Report Tables'!AC$1,'DATA INPUT'!$A$3:$A$3000,"&gt;="&amp;DATE(2023,10,1),'DATA INPUT'!$A$3:$A$3000,"&lt;"&amp;DATE(2023,10,31)))),IF(SUMIFS('DATA INPUT'!$E$3:$E$3000,'DATA INPUT'!$B$3:$B$3000,'Report Tables'!AC$1,'DATA INPUT'!$A$3:$A$3000,"&gt;="&amp;DATE(2023,10,1),'DATA INPUT'!$A$3:$A$3000,"&lt;"&amp;DATE(2023,10,31),'DATA INPUT'!$F$3:$F$3000,"&lt;&gt;*Exclude*")=0,#N/A,(SUMIFS('DATA INPUT'!$E$3:$E$3000,'DATA INPUT'!$B$3:$B$3000,'Report Tables'!AC$1,'DATA INPUT'!$A$3:$A$3000,"&gt;="&amp;DATE(2023,10,1),'DATA INPUT'!$A$3:$A$3000,"&lt;"&amp;DATE(2023,10,31),'DATA INPUT'!$F$3:$F$3000,"&lt;&gt;*Exclude*"))))</f>
        <v>#N/A</v>
      </c>
      <c r="AD84" s="136" t="e">
        <f>IF($L$2="Yes",IF(SUMIFS('DATA INPUT'!$E$3:$E$3000,'DATA INPUT'!$B$3:$B$3000,'Report Tables'!AD$1,'DATA INPUT'!$A$3:$A$3000,"&gt;="&amp;DATE(2023,10,1),'DATA INPUT'!$A$3:$A$3000,"&lt;"&amp;DATE(2023,10,31))=0,#N/A,(SUMIFS('DATA INPUT'!$E$3:$E$3000,'DATA INPUT'!$B$3:$B$3000,'Report Tables'!AD$1,'DATA INPUT'!$A$3:$A$3000,"&gt;="&amp;DATE(2023,10,1),'DATA INPUT'!$A$3:$A$3000,"&lt;"&amp;DATE(2023,10,31)))),IF(SUMIFS('DATA INPUT'!$E$3:$E$3000,'DATA INPUT'!$B$3:$B$3000,'Report Tables'!AD$1,'DATA INPUT'!$A$3:$A$3000,"&gt;="&amp;DATE(2023,10,1),'DATA INPUT'!$A$3:$A$3000,"&lt;"&amp;DATE(2023,10,31),'DATA INPUT'!$F$3:$F$3000,"&lt;&gt;*Exclude*")=0,#N/A,(SUMIFS('DATA INPUT'!$E$3:$E$3000,'DATA INPUT'!$B$3:$B$3000,'Report Tables'!AD$1,'DATA INPUT'!$A$3:$A$3000,"&gt;="&amp;DATE(2023,10,1),'DATA INPUT'!$A$3:$A$3000,"&lt;"&amp;DATE(2023,10,31),'DATA INPUT'!$F$3:$F$3000,"&lt;&gt;*Exclude*"))))</f>
        <v>#N/A</v>
      </c>
      <c r="AE84" s="136" t="e">
        <f>IF($L$2="Yes",IF(SUMIFS('DATA INPUT'!$E$3:$E$3000,'DATA INPUT'!$B$3:$B$3000,'Report Tables'!AE$1,'DATA INPUT'!$A$3:$A$3000,"&gt;="&amp;DATE(2023,10,1),'DATA INPUT'!$A$3:$A$3000,"&lt;"&amp;DATE(2023,10,31))=0,#N/A,(SUMIFS('DATA INPUT'!$E$3:$E$3000,'DATA INPUT'!$B$3:$B$3000,'Report Tables'!AE$1,'DATA INPUT'!$A$3:$A$3000,"&gt;="&amp;DATE(2023,10,1),'DATA INPUT'!$A$3:$A$3000,"&lt;"&amp;DATE(2023,10,31)))),IF(SUMIFS('DATA INPUT'!$E$3:$E$3000,'DATA INPUT'!$B$3:$B$3000,'Report Tables'!AE$1,'DATA INPUT'!$A$3:$A$3000,"&gt;="&amp;DATE(2023,10,1),'DATA INPUT'!$A$3:$A$3000,"&lt;"&amp;DATE(2023,10,31),'DATA INPUT'!$F$3:$F$3000,"&lt;&gt;*Exclude*")=0,#N/A,(SUMIFS('DATA INPUT'!$E$3:$E$3000,'DATA INPUT'!$B$3:$B$3000,'Report Tables'!AE$1,'DATA INPUT'!$A$3:$A$3000,"&gt;="&amp;DATE(2023,10,1),'DATA INPUT'!$A$3:$A$3000,"&lt;"&amp;DATE(2023,10,31),'DATA INPUT'!$F$3:$F$3000,"&lt;&gt;*Exclude*"))))</f>
        <v>#N/A</v>
      </c>
      <c r="AF84" s="136" t="e">
        <f>IF($L$2="Yes",IF(SUMIFS('DATA INPUT'!$E$3:$E$3000,'DATA INPUT'!$B$3:$B$3000,'Report Tables'!AF$1,'DATA INPUT'!$A$3:$A$3000,"&gt;="&amp;DATE(2023,10,1),'DATA INPUT'!$A$3:$A$3000,"&lt;"&amp;DATE(2023,10,31))=0,#N/A,(SUMIFS('DATA INPUT'!$E$3:$E$3000,'DATA INPUT'!$B$3:$B$3000,'Report Tables'!AF$1,'DATA INPUT'!$A$3:$A$3000,"&gt;="&amp;DATE(2023,10,1),'DATA INPUT'!$A$3:$A$3000,"&lt;"&amp;DATE(2023,10,31)))),IF(SUMIFS('DATA INPUT'!$E$3:$E$3000,'DATA INPUT'!$B$3:$B$3000,'Report Tables'!AF$1,'DATA INPUT'!$A$3:$A$3000,"&gt;="&amp;DATE(2023,10,1),'DATA INPUT'!$A$3:$A$3000,"&lt;"&amp;DATE(2023,10,31),'DATA INPUT'!$F$3:$F$3000,"&lt;&gt;*Exclude*")=0,#N/A,(SUMIFS('DATA INPUT'!$E$3:$E$3000,'DATA INPUT'!$B$3:$B$3000,'Report Tables'!AF$1,'DATA INPUT'!$A$3:$A$3000,"&gt;="&amp;DATE(2023,10,1),'DATA INPUT'!$A$3:$A$3000,"&lt;"&amp;DATE(2023,10,31),'DATA INPUT'!$F$3:$F$3000,"&lt;&gt;*Exclude*"))))</f>
        <v>#N/A</v>
      </c>
      <c r="AG84" s="136" t="e">
        <f>IF($L$2="Yes",IF(SUMIFS('DATA INPUT'!$E$3:$E$3000,'DATA INPUT'!$B$3:$B$3000,'Report Tables'!AG$1,'DATA INPUT'!$A$3:$A$3000,"&gt;="&amp;DATE(2023,10,1),'DATA INPUT'!$A$3:$A$3000,"&lt;"&amp;DATE(2023,10,31))=0,#N/A,(SUMIFS('DATA INPUT'!$E$3:$E$3000,'DATA INPUT'!$B$3:$B$3000,'Report Tables'!AG$1,'DATA INPUT'!$A$3:$A$3000,"&gt;="&amp;DATE(2023,10,1),'DATA INPUT'!$A$3:$A$3000,"&lt;"&amp;DATE(2023,10,31)))),IF(SUMIFS('DATA INPUT'!$E$3:$E$3000,'DATA INPUT'!$B$3:$B$3000,'Report Tables'!AG$1,'DATA INPUT'!$A$3:$A$3000,"&gt;="&amp;DATE(2023,10,1),'DATA INPUT'!$A$3:$A$3000,"&lt;"&amp;DATE(2023,10,31),'DATA INPUT'!$F$3:$F$3000,"&lt;&gt;*Exclude*")=0,#N/A,(SUMIFS('DATA INPUT'!$E$3:$E$3000,'DATA INPUT'!$B$3:$B$3000,'Report Tables'!AG$1,'DATA INPUT'!$A$3:$A$3000,"&gt;="&amp;DATE(2023,10,1),'DATA INPUT'!$A$3:$A$3000,"&lt;"&amp;DATE(2023,10,31),'DATA INPUT'!$F$3:$F$3000,"&lt;&gt;*Exclude*"))))</f>
        <v>#N/A</v>
      </c>
      <c r="AH84" s="136" t="e">
        <f>IF($L$2="Yes",IF(SUMIFS('DATA INPUT'!$E$3:$E$3000,'DATA INPUT'!$B$3:$B$3000,'Report Tables'!AH$1,'DATA INPUT'!$A$3:$A$3000,"&gt;="&amp;DATE(2023,10,1),'DATA INPUT'!$A$3:$A$3000,"&lt;"&amp;DATE(2023,10,31))=0,#N/A,(SUMIFS('DATA INPUT'!$E$3:$E$3000,'DATA INPUT'!$B$3:$B$3000,'Report Tables'!AH$1,'DATA INPUT'!$A$3:$A$3000,"&gt;="&amp;DATE(2023,10,1),'DATA INPUT'!$A$3:$A$3000,"&lt;"&amp;DATE(2023,10,31)))),IF(SUMIFS('DATA INPUT'!$E$3:$E$3000,'DATA INPUT'!$B$3:$B$3000,'Report Tables'!AH$1,'DATA INPUT'!$A$3:$A$3000,"&gt;="&amp;DATE(2023,10,1),'DATA INPUT'!$A$3:$A$3000,"&lt;"&amp;DATE(2023,10,31),'DATA INPUT'!$F$3:$F$3000,"&lt;&gt;*Exclude*")=0,#N/A,(SUMIFS('DATA INPUT'!$E$3:$E$3000,'DATA INPUT'!$B$3:$B$3000,'Report Tables'!AH$1,'DATA INPUT'!$A$3:$A$3000,"&gt;="&amp;DATE(2023,10,1),'DATA INPUT'!$A$3:$A$3000,"&lt;"&amp;DATE(2023,10,31),'DATA INPUT'!$F$3:$F$3000,"&lt;&gt;*Exclude*"))))</f>
        <v>#N/A</v>
      </c>
      <c r="AI84" s="136" t="e">
        <f t="shared" si="23"/>
        <v>#N/A</v>
      </c>
      <c r="AJ84" s="136" t="e">
        <f>IF($L$2="Yes",IF(SUMIFS('DATA INPUT'!$D$3:$D$3000,'DATA INPUT'!$A$3:$A$3000,"&gt;="&amp;DATE(2023,10,1),'DATA INPUT'!$A$3:$A$3000,"&lt;"&amp;DATE(2023,10,31),'DATA INPUT'!$G$3:$G$3000,"&lt;&gt;*School service*")=0,#N/A,(SUMIFS('DATA INPUT'!$D$3:$D$3000,'DATA INPUT'!$A$3:$A$3000,"&gt;="&amp;DATE(2023,10,1),'DATA INPUT'!$A$3:$A$3000,"&lt;"&amp;DATE(2023,10,31),'DATA INPUT'!$G$3:$G$3000,"&lt;&gt;*School service*"))),IF(SUMIFS('DATA INPUT'!$D$3:$D$3000,'DATA INPUT'!$A$3:$A$3000,"&gt;="&amp;DATE(2023,10,1),'DATA INPUT'!$A$3:$A$3000,"&lt;"&amp;DATE(2023,10,31),'DATA INPUT'!$F$3:$F$3000,"&lt;&gt;*Exclude*",'DATA INPUT'!$G$3:$G$3000,"&lt;&gt;*School service*")=0,#N/A,(SUMIFS('DATA INPUT'!$D$3:$D$3000,'DATA INPUT'!$A$3:$A$3000,"&gt;="&amp;DATE(2023,10,1),'DATA INPUT'!$A$3:$A$3000,"&lt;"&amp;DATE(2023,10,31),'DATA INPUT'!$F$3:$F$3000,"&lt;&gt;*Exclude*",'DATA INPUT'!$G$3:$G$3000,"&lt;&gt;*School service*"))))</f>
        <v>#N/A</v>
      </c>
      <c r="AK84" s="136" t="e">
        <f>AI84-AJ84</f>
        <v>#N/A</v>
      </c>
      <c r="AM84" s="117" t="e">
        <f>IF($L$2="Yes",IFERROR((SUMIFS('DATA INPUT'!$E$3:$E$3000,'DATA INPUT'!$B$3:$B$3000,'Report Tables'!AM$1,'DATA INPUT'!$A$3:$A$3000,"&gt;="&amp;DATE(2023,10,1),'DATA INPUT'!$A$3:$A$3000,"&lt;"&amp;DATE(2023,10,31)))/COUNTIFS('DATA INPUT'!$B$3:$B$3000,'Report Tables'!AM$1,'DATA INPUT'!$A$3:$A$3000,"&gt;="&amp;DATE(2023,10,1),'DATA INPUT'!$A$3:$A$3000,"&lt;"&amp;DATE(2023,10,31)),#N/A),IFERROR((SUMIFS('DATA INPUT'!$E$3:$E$3000,'DATA INPUT'!$B$3:$B$3000,'Report Tables'!AM$1,'DATA INPUT'!$A$3:$A$3000,"&gt;="&amp;DATE(2023,10,1),'DATA INPUT'!$A$3:$A$3000,"&lt;"&amp;DATE(2023,10,31),'DATA INPUT'!$F$3:$F$3000,"&lt;&gt;*Exclude*"))/(COUNTIFS('DATA INPUT'!$B$3:$B$3000,'Report Tables'!AM$1,'DATA INPUT'!$A$3:$A$3000,"&gt;="&amp;DATE(2023,10,1),'DATA INPUT'!$A$3:$A$3000,"&lt;"&amp;DATE(2023,10,31),'DATA INPUT'!$F$3:$F$3000,"&lt;&gt;*Exclude*")),#N/A))</f>
        <v>#N/A</v>
      </c>
      <c r="AN84" s="117" t="e">
        <f>IF($L$2="Yes",IFERROR((SUMIFS('DATA INPUT'!$E$3:$E$3000,'DATA INPUT'!$B$3:$B$3000,'Report Tables'!AN$1,'DATA INPUT'!$A$3:$A$3000,"&gt;="&amp;DATE(2023,10,1),'DATA INPUT'!$A$3:$A$3000,"&lt;"&amp;DATE(2023,10,31)))/COUNTIFS('DATA INPUT'!$B$3:$B$3000,'Report Tables'!AN$1,'DATA INPUT'!$A$3:$A$3000,"&gt;="&amp;DATE(2023,10,1),'DATA INPUT'!$A$3:$A$3000,"&lt;"&amp;DATE(2023,10,31)),#N/A),IFERROR((SUMIFS('DATA INPUT'!$E$3:$E$3000,'DATA INPUT'!$B$3:$B$3000,'Report Tables'!AN$1,'DATA INPUT'!$A$3:$A$3000,"&gt;="&amp;DATE(2023,10,1),'DATA INPUT'!$A$3:$A$3000,"&lt;"&amp;DATE(2023,10,31),'DATA INPUT'!$F$3:$F$3000,"&lt;&gt;*Exclude*"))/(COUNTIFS('DATA INPUT'!$B$3:$B$3000,'Report Tables'!AN$1,'DATA INPUT'!$A$3:$A$3000,"&gt;="&amp;DATE(2023,10,1),'DATA INPUT'!$A$3:$A$3000,"&lt;"&amp;DATE(2023,10,31),'DATA INPUT'!$F$3:$F$3000,"&lt;&gt;*Exclude*")),#N/A))</f>
        <v>#N/A</v>
      </c>
      <c r="AO84" s="117" t="e">
        <f>IF($L$2="Yes",IFERROR((SUMIFS('DATA INPUT'!$E$3:$E$3000,'DATA INPUT'!$B$3:$B$3000,'Report Tables'!AO$1,'DATA INPUT'!$A$3:$A$3000,"&gt;="&amp;DATE(2023,10,1),'DATA INPUT'!$A$3:$A$3000,"&lt;"&amp;DATE(2023,10,31)))/COUNTIFS('DATA INPUT'!$B$3:$B$3000,'Report Tables'!AO$1,'DATA INPUT'!$A$3:$A$3000,"&gt;="&amp;DATE(2023,10,1),'DATA INPUT'!$A$3:$A$3000,"&lt;"&amp;DATE(2023,10,31)),#N/A),IFERROR((SUMIFS('DATA INPUT'!$E$3:$E$3000,'DATA INPUT'!$B$3:$B$3000,'Report Tables'!AO$1,'DATA INPUT'!$A$3:$A$3000,"&gt;="&amp;DATE(2023,10,1),'DATA INPUT'!$A$3:$A$3000,"&lt;"&amp;DATE(2023,10,31),'DATA INPUT'!$F$3:$F$3000,"&lt;&gt;*Exclude*"))/(COUNTIFS('DATA INPUT'!$B$3:$B$3000,'Report Tables'!AO$1,'DATA INPUT'!$A$3:$A$3000,"&gt;="&amp;DATE(2023,10,1),'DATA INPUT'!$A$3:$A$3000,"&lt;"&amp;DATE(2023,10,31),'DATA INPUT'!$F$3:$F$3000,"&lt;&gt;*Exclude*")),#N/A))</f>
        <v>#N/A</v>
      </c>
      <c r="AP84" s="117" t="e">
        <f>IF($L$2="Yes",IFERROR((SUMIFS('DATA INPUT'!$E$3:$E$3000,'DATA INPUT'!$B$3:$B$3000,'Report Tables'!AP$1,'DATA INPUT'!$A$3:$A$3000,"&gt;="&amp;DATE(2023,10,1),'DATA INPUT'!$A$3:$A$3000,"&lt;"&amp;DATE(2023,10,31)))/COUNTIFS('DATA INPUT'!$B$3:$B$3000,'Report Tables'!AP$1,'DATA INPUT'!$A$3:$A$3000,"&gt;="&amp;DATE(2023,10,1),'DATA INPUT'!$A$3:$A$3000,"&lt;"&amp;DATE(2023,10,31)),#N/A),IFERROR((SUMIFS('DATA INPUT'!$E$3:$E$3000,'DATA INPUT'!$B$3:$B$3000,'Report Tables'!AP$1,'DATA INPUT'!$A$3:$A$3000,"&gt;="&amp;DATE(2023,10,1),'DATA INPUT'!$A$3:$A$3000,"&lt;"&amp;DATE(2023,10,31),'DATA INPUT'!$F$3:$F$3000,"&lt;&gt;*Exclude*"))/(COUNTIFS('DATA INPUT'!$B$3:$B$3000,'Report Tables'!AP$1,'DATA INPUT'!$A$3:$A$3000,"&gt;="&amp;DATE(2023,10,1),'DATA INPUT'!$A$3:$A$3000,"&lt;"&amp;DATE(2023,10,31),'DATA INPUT'!$F$3:$F$3000,"&lt;&gt;*Exclude*")),#N/A))</f>
        <v>#N/A</v>
      </c>
      <c r="AQ84" s="117" t="e">
        <f>IF($L$2="Yes",IFERROR((SUMIFS('DATA INPUT'!$E$3:$E$3000,'DATA INPUT'!$B$3:$B$3000,'Report Tables'!AQ$1,'DATA INPUT'!$A$3:$A$3000,"&gt;="&amp;DATE(2023,10,1),'DATA INPUT'!$A$3:$A$3000,"&lt;"&amp;DATE(2023,10,31)))/COUNTIFS('DATA INPUT'!$B$3:$B$3000,'Report Tables'!AQ$1,'DATA INPUT'!$A$3:$A$3000,"&gt;="&amp;DATE(2023,10,1),'DATA INPUT'!$A$3:$A$3000,"&lt;"&amp;DATE(2023,10,31)),#N/A),IFERROR((SUMIFS('DATA INPUT'!$E$3:$E$3000,'DATA INPUT'!$B$3:$B$3000,'Report Tables'!AQ$1,'DATA INPUT'!$A$3:$A$3000,"&gt;="&amp;DATE(2023,10,1),'DATA INPUT'!$A$3:$A$3000,"&lt;"&amp;DATE(2023,10,31),'DATA INPUT'!$F$3:$F$3000,"&lt;&gt;*Exclude*"))/(COUNTIFS('DATA INPUT'!$B$3:$B$3000,'Report Tables'!AQ$1,'DATA INPUT'!$A$3:$A$3000,"&gt;="&amp;DATE(2023,10,1),'DATA INPUT'!$A$3:$A$3000,"&lt;"&amp;DATE(2023,10,31),'DATA INPUT'!$F$3:$F$3000,"&lt;&gt;*Exclude*")),#N/A))</f>
        <v>#N/A</v>
      </c>
      <c r="AR84" s="117" t="e">
        <f>IF($L$2="Yes",IFERROR((SUMIFS('DATA INPUT'!$E$3:$E$3000,'DATA INPUT'!$B$3:$B$3000,'Report Tables'!AR$1,'DATA INPUT'!$A$3:$A$3000,"&gt;="&amp;DATE(2023,10,1),'DATA INPUT'!$A$3:$A$3000,"&lt;"&amp;DATE(2023,10,31)))/COUNTIFS('DATA INPUT'!$B$3:$B$3000,'Report Tables'!AR$1,'DATA INPUT'!$A$3:$A$3000,"&gt;="&amp;DATE(2023,10,1),'DATA INPUT'!$A$3:$A$3000,"&lt;"&amp;DATE(2023,10,31)),#N/A),IFERROR((SUMIFS('DATA INPUT'!$E$3:$E$3000,'DATA INPUT'!$B$3:$B$3000,'Report Tables'!AR$1,'DATA INPUT'!$A$3:$A$3000,"&gt;="&amp;DATE(2023,10,1),'DATA INPUT'!$A$3:$A$3000,"&lt;"&amp;DATE(2023,10,31),'DATA INPUT'!$F$3:$F$3000,"&lt;&gt;*Exclude*"))/(COUNTIFS('DATA INPUT'!$B$3:$B$3000,'Report Tables'!AR$1,'DATA INPUT'!$A$3:$A$3000,"&gt;="&amp;DATE(2023,10,1),'DATA INPUT'!$A$3:$A$3000,"&lt;"&amp;DATE(2023,10,31),'DATA INPUT'!$F$3:$F$3000,"&lt;&gt;*Exclude*")),#N/A))</f>
        <v>#N/A</v>
      </c>
      <c r="AS84" s="117" t="e">
        <f>IF($L$2="Yes",IFERROR((SUMIFS('DATA INPUT'!$E$3:$E$3000,'DATA INPUT'!$B$3:$B$3000,'Report Tables'!AS$1,'DATA INPUT'!$A$3:$A$3000,"&gt;="&amp;DATE(2023,10,1),'DATA INPUT'!$A$3:$A$3000,"&lt;"&amp;DATE(2023,10,31)))/COUNTIFS('DATA INPUT'!$B$3:$B$3000,'Report Tables'!AS$1,'DATA INPUT'!$A$3:$A$3000,"&gt;="&amp;DATE(2023,10,1),'DATA INPUT'!$A$3:$A$3000,"&lt;"&amp;DATE(2023,10,31)),#N/A),IFERROR((SUMIFS('DATA INPUT'!$E$3:$E$3000,'DATA INPUT'!$B$3:$B$3000,'Report Tables'!AS$1,'DATA INPUT'!$A$3:$A$3000,"&gt;="&amp;DATE(2023,10,1),'DATA INPUT'!$A$3:$A$3000,"&lt;"&amp;DATE(2023,10,31),'DATA INPUT'!$F$3:$F$3000,"&lt;&gt;*Exclude*"))/(COUNTIFS('DATA INPUT'!$B$3:$B$3000,'Report Tables'!AS$1,'DATA INPUT'!$A$3:$A$3000,"&gt;="&amp;DATE(2023,10,1),'DATA INPUT'!$A$3:$A$3000,"&lt;"&amp;DATE(2023,10,31),'DATA INPUT'!$F$3:$F$3000,"&lt;&gt;*Exclude*")),#N/A))</f>
        <v>#N/A</v>
      </c>
      <c r="AT84" s="117" t="e">
        <f>IF($L$2="Yes",IFERROR((SUMIFS('DATA INPUT'!$E$3:$E$3000,'DATA INPUT'!$B$3:$B$3000,'Report Tables'!AT$1,'DATA INPUT'!$A$3:$A$3000,"&gt;="&amp;DATE(2023,10,1),'DATA INPUT'!$A$3:$A$3000,"&lt;"&amp;DATE(2023,10,31)))/COUNTIFS('DATA INPUT'!$B$3:$B$3000,'Report Tables'!AT$1,'DATA INPUT'!$A$3:$A$3000,"&gt;="&amp;DATE(2023,10,1),'DATA INPUT'!$A$3:$A$3000,"&lt;"&amp;DATE(2023,10,31)),#N/A),IFERROR((SUMIFS('DATA INPUT'!$E$3:$E$3000,'DATA INPUT'!$B$3:$B$3000,'Report Tables'!AT$1,'DATA INPUT'!$A$3:$A$3000,"&gt;="&amp;DATE(2023,10,1),'DATA INPUT'!$A$3:$A$3000,"&lt;"&amp;DATE(2023,10,31),'DATA INPUT'!$F$3:$F$3000,"&lt;&gt;*Exclude*"))/(COUNTIFS('DATA INPUT'!$B$3:$B$3000,'Report Tables'!AT$1,'DATA INPUT'!$A$3:$A$3000,"&gt;="&amp;DATE(2023,10,1),'DATA INPUT'!$A$3:$A$3000,"&lt;"&amp;DATE(2023,10,31),'DATA INPUT'!$F$3:$F$3000,"&lt;&gt;*Exclude*")),#N/A))</f>
        <v>#N/A</v>
      </c>
      <c r="AU84" s="117" t="e">
        <f t="shared" si="24"/>
        <v>#N/A</v>
      </c>
      <c r="AV84" s="117" t="e">
        <f>IF($L$2="Yes",IFERROR((SUMIFS('DATA INPUT'!$D$3:$D$3000,'DATA INPUT'!$A$3:$A$3000,"&gt;="&amp;DATE(2023,10,1),'DATA INPUT'!$A$3:$A$3000,"&lt;"&amp;DATE(2023,10,31),'DATA INPUT'!$G$3:$G$3000,"&lt;&gt;*School service*"))/COUNTIFS('DATA INPUT'!$A$3:$A$3000,"&gt;="&amp;DATE(2023,10,1),'DATA INPUT'!$A$3:$A$3000,"&lt;"&amp;DATE(2023,10,31),'DATA INPUT'!$G$3:$G$3000,"&lt;&gt;*School service*",'DATA INPUT'!$D$3:$D$3000,"&lt;&gt;"&amp;""),#N/A),IFERROR((SUMIFS('DATA INPUT'!$D$3:$D$3000,'DATA INPUT'!$A$3:$A$3000,"&gt;="&amp;DATE(2023,10,1),'DATA INPUT'!$A$3:$A$3000,"&lt;"&amp;DATE(2023,10,31),'DATA INPUT'!$F$3:$F$3000,"&lt;&gt;*Exclude*",'DATA INPUT'!$G$3:$G$3000,"&lt;&gt;*School service*"))/(COUNTIFS('DATA INPUT'!$A$3:$A$3000,"&gt;="&amp;DATE(2023,10,1),'DATA INPUT'!$A$3:$A$3000,"&lt;"&amp;DATE(2023,10,31),'DATA INPUT'!$F$3:$F$3000,"&lt;&gt;*Exclude*",'DATA INPUT'!$G$3:$G$3000,"&lt;&gt;*School service*",'DATA INPUT'!$D$3:$D$3000,"&lt;&gt;"&amp;"")),#N/A))</f>
        <v>#N/A</v>
      </c>
      <c r="AW84" s="117" t="e">
        <f t="shared" si="25"/>
        <v>#N/A</v>
      </c>
      <c r="AX84" s="117" t="e">
        <f>IF($L$2="Yes",IFERROR((SUMIFS('DATA INPUT'!$E$3:$E$3000,'DATA INPUT'!$B$3:$B$3000,'Report Tables'!AX$1,'DATA INPUT'!$A$3:$A$3000,"&gt;="&amp;DATE(2023,10,1),'DATA INPUT'!$A$3:$A$3000,"&lt;"&amp;DATE(2023,10,31)))/COUNTIFS('DATA INPUT'!$B$3:$B$3000,'Report Tables'!AX$1,'DATA INPUT'!$A$3:$A$3000,"&gt;="&amp;DATE(2023,10,1),'DATA INPUT'!$A$3:$A$3000,"&lt;"&amp;DATE(2023,10,31)),#N/A),IFERROR((SUMIFS('DATA INPUT'!$E$3:$E$3000,'DATA INPUT'!$B$3:$B$3000,'Report Tables'!AX$1,'DATA INPUT'!$A$3:$A$3000,"&gt;="&amp;DATE(2023,10,1),'DATA INPUT'!$A$3:$A$3000,"&lt;"&amp;DATE(2023,10,31),'DATA INPUT'!$F$3:$F$3000,"&lt;&gt;*Exclude*"))/(COUNTIFS('DATA INPUT'!$B$3:$B$3000,'Report Tables'!AX$1,'DATA INPUT'!$A$3:$A$3000,"&gt;="&amp;DATE(2023,10,1),'DATA INPUT'!$A$3:$A$3000,"&lt;"&amp;DATE(2023,10,31),'DATA INPUT'!$F$3:$F$3000,"&lt;&gt;*Exclude*")),#N/A))</f>
        <v>#N/A</v>
      </c>
      <c r="AY84" s="117" t="e">
        <f>IF($L$2="Yes",IFERROR((SUMIFS('DATA INPUT'!$D$3:$D$3000,'DATA INPUT'!$B$3:$B$3000,'Report Tables'!AX$1,'DATA INPUT'!$A$3:$A$3000,"&gt;="&amp;DATE(2023,10,1),'DATA INPUT'!$A$3:$A$3000,"&lt;"&amp;DATE(2023,10,31)))/COUNTIFS('DATA INPUT'!$B$3:$B$3000,'Report Tables'!AX$1,'DATA INPUT'!$A$3:$A$3000,"&gt;="&amp;DATE(2023,10,1),'DATA INPUT'!$A$3:$A$3000,"&lt;"&amp;DATE(2023,10,31)),#N/A),IFERROR((SUMIFS('DATA INPUT'!$D$3:$D$3000,'DATA INPUT'!$B$3:$B$3000,'Report Tables'!AX$1,'DATA INPUT'!$A$3:$A$3000,"&gt;="&amp;DATE(2023,10,1),'DATA INPUT'!$A$3:$A$3000,"&lt;"&amp;DATE(2023,10,31),'DATA INPUT'!$F$3:$F$3000,"&lt;&gt;*Exclude*"))/(COUNTIFS('DATA INPUT'!$B$3:$B$3000,'Report Tables'!AX$1,'DATA INPUT'!$A$3:$A$3000,"&gt;="&amp;DATE(2023,10,1),'DATA INPUT'!$A$3:$A$3000,"&lt;"&amp;DATE(2023,10,31),'DATA INPUT'!$F$3:$F$3000,"&lt;&gt;*Exclude*")),#N/A))</f>
        <v>#N/A</v>
      </c>
      <c r="AZ84" s="117" t="e">
        <f>IF($L$2="Yes",IFERROR((SUMIFS('DATA INPUT'!$C$3:$C$3000,'DATA INPUT'!$B$3:$B$3000,'Report Tables'!AX$1,'DATA INPUT'!$A$3:$A$3000,"&gt;="&amp;DATE(2023,10,1),'DATA INPUT'!$A$3:$A$3000,"&lt;"&amp;DATE(2023,10,31)))/COUNTIFS('DATA INPUT'!$B$3:$B$3000,'Report Tables'!AX$1,'DATA INPUT'!$A$3:$A$3000,"&gt;="&amp;DATE(2023,10,1),'DATA INPUT'!$A$3:$A$3000,"&lt;"&amp;DATE(2023,10,31)),#N/A),IFERROR((SUMIFS('DATA INPUT'!$C$3:$C$3000,'DATA INPUT'!$B$3:$B$3000,'Report Tables'!AX$1,'DATA INPUT'!$A$3:$A$3000,"&gt;="&amp;DATE(2023,10,1),'DATA INPUT'!$A$3:$A$3000,"&lt;"&amp;DATE(2023,10,31),'DATA INPUT'!$F$3:$F$3000,"&lt;&gt;*Exclude*"))/(COUNTIFS('DATA INPUT'!$B$3:$B$3000,'Report Tables'!AX$1,'DATA INPUT'!$A$3:$A$3000,"&gt;="&amp;DATE(2023,10,1),'DATA INPUT'!$A$3:$A$3000,"&lt;"&amp;DATE(2023,10,31),'DATA INPUT'!$F$3:$F$3000,"&lt;&gt;*Exclude*")),#N/A))</f>
        <v>#N/A</v>
      </c>
    </row>
    <row r="85" spans="25:52" x14ac:dyDescent="0.3">
      <c r="Y85" s="149"/>
      <c r="Z85" s="149" t="s">
        <v>22</v>
      </c>
      <c r="AA85" s="136" t="e">
        <f>IF($L$2="Yes",IF(SUMIFS('DATA INPUT'!$E$3:$E$3000,'DATA INPUT'!$B$3:$B$3000,'Report Tables'!AA$1,'DATA INPUT'!$A$3:$A$3000,"&gt;="&amp;DATE(2023,11,1),'DATA INPUT'!$A$3:$A$3000,"&lt;"&amp;DATE(2023,11,31))=0,#N/A,(SUMIFS('DATA INPUT'!$E$3:$E$3000,'DATA INPUT'!$B$3:$B$3000,'Report Tables'!AA$1,'DATA INPUT'!$A$3:$A$3000,"&gt;="&amp;DATE(2023,11,1),'DATA INPUT'!$A$3:$A$3000,"&lt;"&amp;DATE(2023,11,31)))),IF(SUMIFS('DATA INPUT'!$E$3:$E$3000,'DATA INPUT'!$B$3:$B$3000,'Report Tables'!AA$1,'DATA INPUT'!$A$3:$A$3000,"&gt;="&amp;DATE(2023,11,1),'DATA INPUT'!$A$3:$A$3000,"&lt;"&amp;DATE(2023,11,31),'DATA INPUT'!$F$3:$F$3000,"&lt;&gt;*Exclude*")=0,#N/A,(SUMIFS('DATA INPUT'!$E$3:$E$3000,'DATA INPUT'!$B$3:$B$3000,'Report Tables'!AA$1,'DATA INPUT'!$A$3:$A$3000,"&gt;="&amp;DATE(2023,11,1),'DATA INPUT'!$A$3:$A$3000,"&lt;"&amp;DATE(2023,11,31),'DATA INPUT'!$F$3:$F$3000,"&lt;&gt;*Exclude*"))))</f>
        <v>#N/A</v>
      </c>
      <c r="AB85" s="136" t="e">
        <f>IF($L$2="Yes",IF(SUMIFS('DATA INPUT'!$E$3:$E$3000,'DATA INPUT'!$B$3:$B$3000,'Report Tables'!AB$1,'DATA INPUT'!$A$3:$A$3000,"&gt;="&amp;DATE(2023,11,1),'DATA INPUT'!$A$3:$A$3000,"&lt;"&amp;DATE(2023,11,31))=0,#N/A,(SUMIFS('DATA INPUT'!$E$3:$E$3000,'DATA INPUT'!$B$3:$B$3000,'Report Tables'!AB$1,'DATA INPUT'!$A$3:$A$3000,"&gt;="&amp;DATE(2023,11,1),'DATA INPUT'!$A$3:$A$3000,"&lt;"&amp;DATE(2023,11,31)))),IF(SUMIFS('DATA INPUT'!$E$3:$E$3000,'DATA INPUT'!$B$3:$B$3000,'Report Tables'!AB$1,'DATA INPUT'!$A$3:$A$3000,"&gt;="&amp;DATE(2023,11,1),'DATA INPUT'!$A$3:$A$3000,"&lt;"&amp;DATE(2023,11,31),'DATA INPUT'!$F$3:$F$3000,"&lt;&gt;*Exclude*")=0,#N/A,(SUMIFS('DATA INPUT'!$E$3:$E$3000,'DATA INPUT'!$B$3:$B$3000,'Report Tables'!AB$1,'DATA INPUT'!$A$3:$A$3000,"&gt;="&amp;DATE(2023,11,1),'DATA INPUT'!$A$3:$A$3000,"&lt;"&amp;DATE(2023,11,31),'DATA INPUT'!$F$3:$F$3000,"&lt;&gt;*Exclude*"))))</f>
        <v>#N/A</v>
      </c>
      <c r="AC85" s="136" t="e">
        <f>IF($L$2="Yes",IF(SUMIFS('DATA INPUT'!$E$3:$E$3000,'DATA INPUT'!$B$3:$B$3000,'Report Tables'!AC$1,'DATA INPUT'!$A$3:$A$3000,"&gt;="&amp;DATE(2023,11,1),'DATA INPUT'!$A$3:$A$3000,"&lt;"&amp;DATE(2023,11,31))=0,#N/A,(SUMIFS('DATA INPUT'!$E$3:$E$3000,'DATA INPUT'!$B$3:$B$3000,'Report Tables'!AC$1,'DATA INPUT'!$A$3:$A$3000,"&gt;="&amp;DATE(2023,11,1),'DATA INPUT'!$A$3:$A$3000,"&lt;"&amp;DATE(2023,11,31)))),IF(SUMIFS('DATA INPUT'!$E$3:$E$3000,'DATA INPUT'!$B$3:$B$3000,'Report Tables'!AC$1,'DATA INPUT'!$A$3:$A$3000,"&gt;="&amp;DATE(2023,11,1),'DATA INPUT'!$A$3:$A$3000,"&lt;"&amp;DATE(2023,11,31),'DATA INPUT'!$F$3:$F$3000,"&lt;&gt;*Exclude*")=0,#N/A,(SUMIFS('DATA INPUT'!$E$3:$E$3000,'DATA INPUT'!$B$3:$B$3000,'Report Tables'!AC$1,'DATA INPUT'!$A$3:$A$3000,"&gt;="&amp;DATE(2023,11,1),'DATA INPUT'!$A$3:$A$3000,"&lt;"&amp;DATE(2023,11,31),'DATA INPUT'!$F$3:$F$3000,"&lt;&gt;*Exclude*"))))</f>
        <v>#N/A</v>
      </c>
      <c r="AD85" s="136" t="e">
        <f>IF($L$2="Yes",IF(SUMIFS('DATA INPUT'!$E$3:$E$3000,'DATA INPUT'!$B$3:$B$3000,'Report Tables'!AD$1,'DATA INPUT'!$A$3:$A$3000,"&gt;="&amp;DATE(2023,11,1),'DATA INPUT'!$A$3:$A$3000,"&lt;"&amp;DATE(2023,11,31))=0,#N/A,(SUMIFS('DATA INPUT'!$E$3:$E$3000,'DATA INPUT'!$B$3:$B$3000,'Report Tables'!AD$1,'DATA INPUT'!$A$3:$A$3000,"&gt;="&amp;DATE(2023,11,1),'DATA INPUT'!$A$3:$A$3000,"&lt;"&amp;DATE(2023,11,31)))),IF(SUMIFS('DATA INPUT'!$E$3:$E$3000,'DATA INPUT'!$B$3:$B$3000,'Report Tables'!AD$1,'DATA INPUT'!$A$3:$A$3000,"&gt;="&amp;DATE(2023,11,1),'DATA INPUT'!$A$3:$A$3000,"&lt;"&amp;DATE(2023,11,31),'DATA INPUT'!$F$3:$F$3000,"&lt;&gt;*Exclude*")=0,#N/A,(SUMIFS('DATA INPUT'!$E$3:$E$3000,'DATA INPUT'!$B$3:$B$3000,'Report Tables'!AD$1,'DATA INPUT'!$A$3:$A$3000,"&gt;="&amp;DATE(2023,11,1),'DATA INPUT'!$A$3:$A$3000,"&lt;"&amp;DATE(2023,11,31),'DATA INPUT'!$F$3:$F$3000,"&lt;&gt;*Exclude*"))))</f>
        <v>#N/A</v>
      </c>
      <c r="AE85" s="136" t="e">
        <f>IF($L$2="Yes",IF(SUMIFS('DATA INPUT'!$E$3:$E$3000,'DATA INPUT'!$B$3:$B$3000,'Report Tables'!AE$1,'DATA INPUT'!$A$3:$A$3000,"&gt;="&amp;DATE(2023,11,1),'DATA INPUT'!$A$3:$A$3000,"&lt;"&amp;DATE(2023,11,31))=0,#N/A,(SUMIFS('DATA INPUT'!$E$3:$E$3000,'DATA INPUT'!$B$3:$B$3000,'Report Tables'!AE$1,'DATA INPUT'!$A$3:$A$3000,"&gt;="&amp;DATE(2023,11,1),'DATA INPUT'!$A$3:$A$3000,"&lt;"&amp;DATE(2023,11,31)))),IF(SUMIFS('DATA INPUT'!$E$3:$E$3000,'DATA INPUT'!$B$3:$B$3000,'Report Tables'!AE$1,'DATA INPUT'!$A$3:$A$3000,"&gt;="&amp;DATE(2023,11,1),'DATA INPUT'!$A$3:$A$3000,"&lt;"&amp;DATE(2023,11,31),'DATA INPUT'!$F$3:$F$3000,"&lt;&gt;*Exclude*")=0,#N/A,(SUMIFS('DATA INPUT'!$E$3:$E$3000,'DATA INPUT'!$B$3:$B$3000,'Report Tables'!AE$1,'DATA INPUT'!$A$3:$A$3000,"&gt;="&amp;DATE(2023,11,1),'DATA INPUT'!$A$3:$A$3000,"&lt;"&amp;DATE(2023,11,31),'DATA INPUT'!$F$3:$F$3000,"&lt;&gt;*Exclude*"))))</f>
        <v>#N/A</v>
      </c>
      <c r="AF85" s="136" t="e">
        <f>IF($L$2="Yes",IF(SUMIFS('DATA INPUT'!$E$3:$E$3000,'DATA INPUT'!$B$3:$B$3000,'Report Tables'!AF$1,'DATA INPUT'!$A$3:$A$3000,"&gt;="&amp;DATE(2023,11,1),'DATA INPUT'!$A$3:$A$3000,"&lt;"&amp;DATE(2023,11,31))=0,#N/A,(SUMIFS('DATA INPUT'!$E$3:$E$3000,'DATA INPUT'!$B$3:$B$3000,'Report Tables'!AF$1,'DATA INPUT'!$A$3:$A$3000,"&gt;="&amp;DATE(2023,11,1),'DATA INPUT'!$A$3:$A$3000,"&lt;"&amp;DATE(2023,11,31)))),IF(SUMIFS('DATA INPUT'!$E$3:$E$3000,'DATA INPUT'!$B$3:$B$3000,'Report Tables'!AF$1,'DATA INPUT'!$A$3:$A$3000,"&gt;="&amp;DATE(2023,11,1),'DATA INPUT'!$A$3:$A$3000,"&lt;"&amp;DATE(2023,11,31),'DATA INPUT'!$F$3:$F$3000,"&lt;&gt;*Exclude*")=0,#N/A,(SUMIFS('DATA INPUT'!$E$3:$E$3000,'DATA INPUT'!$B$3:$B$3000,'Report Tables'!AF$1,'DATA INPUT'!$A$3:$A$3000,"&gt;="&amp;DATE(2023,11,1),'DATA INPUT'!$A$3:$A$3000,"&lt;"&amp;DATE(2023,11,31),'DATA INPUT'!$F$3:$F$3000,"&lt;&gt;*Exclude*"))))</f>
        <v>#N/A</v>
      </c>
      <c r="AG85" s="136" t="e">
        <f>IF($L$2="Yes",IF(SUMIFS('DATA INPUT'!$E$3:$E$3000,'DATA INPUT'!$B$3:$B$3000,'Report Tables'!AG$1,'DATA INPUT'!$A$3:$A$3000,"&gt;="&amp;DATE(2023,11,1),'DATA INPUT'!$A$3:$A$3000,"&lt;"&amp;DATE(2023,11,31))=0,#N/A,(SUMIFS('DATA INPUT'!$E$3:$E$3000,'DATA INPUT'!$B$3:$B$3000,'Report Tables'!AG$1,'DATA INPUT'!$A$3:$A$3000,"&gt;="&amp;DATE(2023,11,1),'DATA INPUT'!$A$3:$A$3000,"&lt;"&amp;DATE(2023,11,31)))),IF(SUMIFS('DATA INPUT'!$E$3:$E$3000,'DATA INPUT'!$B$3:$B$3000,'Report Tables'!AG$1,'DATA INPUT'!$A$3:$A$3000,"&gt;="&amp;DATE(2023,11,1),'DATA INPUT'!$A$3:$A$3000,"&lt;"&amp;DATE(2023,11,31),'DATA INPUT'!$F$3:$F$3000,"&lt;&gt;*Exclude*")=0,#N/A,(SUMIFS('DATA INPUT'!$E$3:$E$3000,'DATA INPUT'!$B$3:$B$3000,'Report Tables'!AG$1,'DATA INPUT'!$A$3:$A$3000,"&gt;="&amp;DATE(2023,11,1),'DATA INPUT'!$A$3:$A$3000,"&lt;"&amp;DATE(2023,11,31),'DATA INPUT'!$F$3:$F$3000,"&lt;&gt;*Exclude*"))))</f>
        <v>#N/A</v>
      </c>
      <c r="AH85" s="136" t="e">
        <f>IF($L$2="Yes",IF(SUMIFS('DATA INPUT'!$E$3:$E$3000,'DATA INPUT'!$B$3:$B$3000,'Report Tables'!AH$1,'DATA INPUT'!$A$3:$A$3000,"&gt;="&amp;DATE(2023,11,1),'DATA INPUT'!$A$3:$A$3000,"&lt;"&amp;DATE(2023,11,31))=0,#N/A,(SUMIFS('DATA INPUT'!$E$3:$E$3000,'DATA INPUT'!$B$3:$B$3000,'Report Tables'!AH$1,'DATA INPUT'!$A$3:$A$3000,"&gt;="&amp;DATE(2023,11,1),'DATA INPUT'!$A$3:$A$3000,"&lt;"&amp;DATE(2023,11,31)))),IF(SUMIFS('DATA INPUT'!$E$3:$E$3000,'DATA INPUT'!$B$3:$B$3000,'Report Tables'!AH$1,'DATA INPUT'!$A$3:$A$3000,"&gt;="&amp;DATE(2023,11,1),'DATA INPUT'!$A$3:$A$3000,"&lt;"&amp;DATE(2023,11,31),'DATA INPUT'!$F$3:$F$3000,"&lt;&gt;*Exclude*")=0,#N/A,(SUMIFS('DATA INPUT'!$E$3:$E$3000,'DATA INPUT'!$B$3:$B$3000,'Report Tables'!AH$1,'DATA INPUT'!$A$3:$A$3000,"&gt;="&amp;DATE(2023,11,1),'DATA INPUT'!$A$3:$A$3000,"&lt;"&amp;DATE(2023,11,31),'DATA INPUT'!$F$3:$F$3000,"&lt;&gt;*Exclude*"))))</f>
        <v>#N/A</v>
      </c>
      <c r="AI85" s="136" t="e">
        <f t="shared" si="23"/>
        <v>#N/A</v>
      </c>
      <c r="AJ85" s="136" t="e">
        <f>IF($L$2="Yes",IF(SUMIFS('DATA INPUT'!$D$3:$D$3000,'DATA INPUT'!$A$3:$A$3000,"&gt;="&amp;DATE(2023,11,1),'DATA INPUT'!$A$3:$A$3000,"&lt;"&amp;DATE(2023,11,31),'DATA INPUT'!$G$3:$G$3000,"&lt;&gt;*School service*")=0,#N/A,(SUMIFS('DATA INPUT'!$D$3:$D$3000,'DATA INPUT'!$A$3:$A$3000,"&gt;="&amp;DATE(2023,11,1),'DATA INPUT'!$A$3:$A$3000,"&lt;"&amp;DATE(2023,11,31),'DATA INPUT'!$G$3:$G$3000,"&lt;&gt;*School service*"))),IF(SUMIFS('DATA INPUT'!$D$3:$D$3000,'DATA INPUT'!$A$3:$A$3000,"&gt;="&amp;DATE(2023,11,1),'DATA INPUT'!$A$3:$A$3000,"&lt;"&amp;DATE(2023,11,31),'DATA INPUT'!$F$3:$F$3000,"&lt;&gt;*Exclude*",'DATA INPUT'!$G$3:$G$3000,"&lt;&gt;*School service*")=0,#N/A,(SUMIFS('DATA INPUT'!$D$3:$D$3000,'DATA INPUT'!$A$3:$A$3000,"&gt;="&amp;DATE(2023,11,1),'DATA INPUT'!$A$3:$A$3000,"&lt;"&amp;DATE(2023,11,31),'DATA INPUT'!$F$3:$F$3000,"&lt;&gt;*Exclude*",'DATA INPUT'!$G$3:$G$3000,"&lt;&gt;*School service*"))))</f>
        <v>#N/A</v>
      </c>
      <c r="AK85" s="136" t="e">
        <f>AI85-AJ85</f>
        <v>#N/A</v>
      </c>
      <c r="AM85" s="117" t="e">
        <f>IF($L$2="Yes",IFERROR((SUMIFS('DATA INPUT'!$E$3:$E$3000,'DATA INPUT'!$B$3:$B$3000,'Report Tables'!AM$1,'DATA INPUT'!$A$3:$A$3000,"&gt;="&amp;DATE(2023,11,1),'DATA INPUT'!$A$3:$A$3000,"&lt;"&amp;DATE(2023,11,31)))/COUNTIFS('DATA INPUT'!$B$3:$B$3000,'Report Tables'!AM$1,'DATA INPUT'!$A$3:$A$3000,"&gt;="&amp;DATE(2023,11,1),'DATA INPUT'!$A$3:$A$3000,"&lt;"&amp;DATE(2023,11,31)),#N/A),IFERROR((SUMIFS('DATA INPUT'!$E$3:$E$3000,'DATA INPUT'!$B$3:$B$3000,'Report Tables'!AM$1,'DATA INPUT'!$A$3:$A$3000,"&gt;="&amp;DATE(2023,11,1),'DATA INPUT'!$A$3:$A$3000,"&lt;"&amp;DATE(2023,11,31),'DATA INPUT'!$F$3:$F$3000,"&lt;&gt;*Exclude*"))/(COUNTIFS('DATA INPUT'!$B$3:$B$3000,'Report Tables'!AM$1,'DATA INPUT'!$A$3:$A$3000,"&gt;="&amp;DATE(2023,11,1),'DATA INPUT'!$A$3:$A$3000,"&lt;"&amp;DATE(2023,11,31),'DATA INPUT'!$F$3:$F$3000,"&lt;&gt;*Exclude*")),#N/A))</f>
        <v>#N/A</v>
      </c>
      <c r="AN85" s="117" t="e">
        <f>IF($L$2="Yes",IFERROR((SUMIFS('DATA INPUT'!$E$3:$E$3000,'DATA INPUT'!$B$3:$B$3000,'Report Tables'!AN$1,'DATA INPUT'!$A$3:$A$3000,"&gt;="&amp;DATE(2023,11,1),'DATA INPUT'!$A$3:$A$3000,"&lt;"&amp;DATE(2023,11,31)))/COUNTIFS('DATA INPUT'!$B$3:$B$3000,'Report Tables'!AN$1,'DATA INPUT'!$A$3:$A$3000,"&gt;="&amp;DATE(2023,11,1),'DATA INPUT'!$A$3:$A$3000,"&lt;"&amp;DATE(2023,11,31)),#N/A),IFERROR((SUMIFS('DATA INPUT'!$E$3:$E$3000,'DATA INPUT'!$B$3:$B$3000,'Report Tables'!AN$1,'DATA INPUT'!$A$3:$A$3000,"&gt;="&amp;DATE(2023,11,1),'DATA INPUT'!$A$3:$A$3000,"&lt;"&amp;DATE(2023,11,31),'DATA INPUT'!$F$3:$F$3000,"&lt;&gt;*Exclude*"))/(COUNTIFS('DATA INPUT'!$B$3:$B$3000,'Report Tables'!AN$1,'DATA INPUT'!$A$3:$A$3000,"&gt;="&amp;DATE(2023,11,1),'DATA INPUT'!$A$3:$A$3000,"&lt;"&amp;DATE(2023,11,31),'DATA INPUT'!$F$3:$F$3000,"&lt;&gt;*Exclude*")),#N/A))</f>
        <v>#N/A</v>
      </c>
      <c r="AO85" s="117" t="e">
        <f>IF($L$2="Yes",IFERROR((SUMIFS('DATA INPUT'!$E$3:$E$3000,'DATA INPUT'!$B$3:$B$3000,'Report Tables'!AO$1,'DATA INPUT'!$A$3:$A$3000,"&gt;="&amp;DATE(2023,11,1),'DATA INPUT'!$A$3:$A$3000,"&lt;"&amp;DATE(2023,11,31)))/COUNTIFS('DATA INPUT'!$B$3:$B$3000,'Report Tables'!AO$1,'DATA INPUT'!$A$3:$A$3000,"&gt;="&amp;DATE(2023,11,1),'DATA INPUT'!$A$3:$A$3000,"&lt;"&amp;DATE(2023,11,31)),#N/A),IFERROR((SUMIFS('DATA INPUT'!$E$3:$E$3000,'DATA INPUT'!$B$3:$B$3000,'Report Tables'!AO$1,'DATA INPUT'!$A$3:$A$3000,"&gt;="&amp;DATE(2023,11,1),'DATA INPUT'!$A$3:$A$3000,"&lt;"&amp;DATE(2023,11,31),'DATA INPUT'!$F$3:$F$3000,"&lt;&gt;*Exclude*"))/(COUNTIFS('DATA INPUT'!$B$3:$B$3000,'Report Tables'!AO$1,'DATA INPUT'!$A$3:$A$3000,"&gt;="&amp;DATE(2023,11,1),'DATA INPUT'!$A$3:$A$3000,"&lt;"&amp;DATE(2023,11,31),'DATA INPUT'!$F$3:$F$3000,"&lt;&gt;*Exclude*")),#N/A))</f>
        <v>#N/A</v>
      </c>
      <c r="AP85" s="117" t="e">
        <f>IF($L$2="Yes",IFERROR((SUMIFS('DATA INPUT'!$E$3:$E$3000,'DATA INPUT'!$B$3:$B$3000,'Report Tables'!AP$1,'DATA INPUT'!$A$3:$A$3000,"&gt;="&amp;DATE(2023,11,1),'DATA INPUT'!$A$3:$A$3000,"&lt;"&amp;DATE(2023,11,31)))/COUNTIFS('DATA INPUT'!$B$3:$B$3000,'Report Tables'!AP$1,'DATA INPUT'!$A$3:$A$3000,"&gt;="&amp;DATE(2023,11,1),'DATA INPUT'!$A$3:$A$3000,"&lt;"&amp;DATE(2023,11,31)),#N/A),IFERROR((SUMIFS('DATA INPUT'!$E$3:$E$3000,'DATA INPUT'!$B$3:$B$3000,'Report Tables'!AP$1,'DATA INPUT'!$A$3:$A$3000,"&gt;="&amp;DATE(2023,11,1),'DATA INPUT'!$A$3:$A$3000,"&lt;"&amp;DATE(2023,11,31),'DATA INPUT'!$F$3:$F$3000,"&lt;&gt;*Exclude*"))/(COUNTIFS('DATA INPUT'!$B$3:$B$3000,'Report Tables'!AP$1,'DATA INPUT'!$A$3:$A$3000,"&gt;="&amp;DATE(2023,11,1),'DATA INPUT'!$A$3:$A$3000,"&lt;"&amp;DATE(2023,11,31),'DATA INPUT'!$F$3:$F$3000,"&lt;&gt;*Exclude*")),#N/A))</f>
        <v>#N/A</v>
      </c>
      <c r="AQ85" s="117" t="e">
        <f>IF($L$2="Yes",IFERROR((SUMIFS('DATA INPUT'!$E$3:$E$3000,'DATA INPUT'!$B$3:$B$3000,'Report Tables'!AQ$1,'DATA INPUT'!$A$3:$A$3000,"&gt;="&amp;DATE(2023,11,1),'DATA INPUT'!$A$3:$A$3000,"&lt;"&amp;DATE(2023,11,31)))/COUNTIFS('DATA INPUT'!$B$3:$B$3000,'Report Tables'!AQ$1,'DATA INPUT'!$A$3:$A$3000,"&gt;="&amp;DATE(2023,11,1),'DATA INPUT'!$A$3:$A$3000,"&lt;"&amp;DATE(2023,11,31)),#N/A),IFERROR((SUMIFS('DATA INPUT'!$E$3:$E$3000,'DATA INPUT'!$B$3:$B$3000,'Report Tables'!AQ$1,'DATA INPUT'!$A$3:$A$3000,"&gt;="&amp;DATE(2023,11,1),'DATA INPUT'!$A$3:$A$3000,"&lt;"&amp;DATE(2023,11,31),'DATA INPUT'!$F$3:$F$3000,"&lt;&gt;*Exclude*"))/(COUNTIFS('DATA INPUT'!$B$3:$B$3000,'Report Tables'!AQ$1,'DATA INPUT'!$A$3:$A$3000,"&gt;="&amp;DATE(2023,11,1),'DATA INPUT'!$A$3:$A$3000,"&lt;"&amp;DATE(2023,11,31),'DATA INPUT'!$F$3:$F$3000,"&lt;&gt;*Exclude*")),#N/A))</f>
        <v>#N/A</v>
      </c>
      <c r="AR85" s="117" t="e">
        <f>IF($L$2="Yes",IFERROR((SUMIFS('DATA INPUT'!$E$3:$E$3000,'DATA INPUT'!$B$3:$B$3000,'Report Tables'!AR$1,'DATA INPUT'!$A$3:$A$3000,"&gt;="&amp;DATE(2023,11,1),'DATA INPUT'!$A$3:$A$3000,"&lt;"&amp;DATE(2023,11,31)))/COUNTIFS('DATA INPUT'!$B$3:$B$3000,'Report Tables'!AR$1,'DATA INPUT'!$A$3:$A$3000,"&gt;="&amp;DATE(2023,11,1),'DATA INPUT'!$A$3:$A$3000,"&lt;"&amp;DATE(2023,11,31)),#N/A),IFERROR((SUMIFS('DATA INPUT'!$E$3:$E$3000,'DATA INPUT'!$B$3:$B$3000,'Report Tables'!AR$1,'DATA INPUT'!$A$3:$A$3000,"&gt;="&amp;DATE(2023,11,1),'DATA INPUT'!$A$3:$A$3000,"&lt;"&amp;DATE(2023,11,31),'DATA INPUT'!$F$3:$F$3000,"&lt;&gt;*Exclude*"))/(COUNTIFS('DATA INPUT'!$B$3:$B$3000,'Report Tables'!AR$1,'DATA INPUT'!$A$3:$A$3000,"&gt;="&amp;DATE(2023,11,1),'DATA INPUT'!$A$3:$A$3000,"&lt;"&amp;DATE(2023,11,31),'DATA INPUT'!$F$3:$F$3000,"&lt;&gt;*Exclude*")),#N/A))</f>
        <v>#N/A</v>
      </c>
      <c r="AS85" s="117" t="e">
        <f>IF($L$2="Yes",IFERROR((SUMIFS('DATA INPUT'!$E$3:$E$3000,'DATA INPUT'!$B$3:$B$3000,'Report Tables'!AS$1,'DATA INPUT'!$A$3:$A$3000,"&gt;="&amp;DATE(2023,11,1),'DATA INPUT'!$A$3:$A$3000,"&lt;"&amp;DATE(2023,11,31)))/COUNTIFS('DATA INPUT'!$B$3:$B$3000,'Report Tables'!AS$1,'DATA INPUT'!$A$3:$A$3000,"&gt;="&amp;DATE(2023,11,1),'DATA INPUT'!$A$3:$A$3000,"&lt;"&amp;DATE(2023,11,31)),#N/A),IFERROR((SUMIFS('DATA INPUT'!$E$3:$E$3000,'DATA INPUT'!$B$3:$B$3000,'Report Tables'!AS$1,'DATA INPUT'!$A$3:$A$3000,"&gt;="&amp;DATE(2023,11,1),'DATA INPUT'!$A$3:$A$3000,"&lt;"&amp;DATE(2023,11,31),'DATA INPUT'!$F$3:$F$3000,"&lt;&gt;*Exclude*"))/(COUNTIFS('DATA INPUT'!$B$3:$B$3000,'Report Tables'!AS$1,'DATA INPUT'!$A$3:$A$3000,"&gt;="&amp;DATE(2023,11,1),'DATA INPUT'!$A$3:$A$3000,"&lt;"&amp;DATE(2023,11,31),'DATA INPUT'!$F$3:$F$3000,"&lt;&gt;*Exclude*")),#N/A))</f>
        <v>#N/A</v>
      </c>
      <c r="AT85" s="117" t="e">
        <f>IF($L$2="Yes",IFERROR((SUMIFS('DATA INPUT'!$E$3:$E$3000,'DATA INPUT'!$B$3:$B$3000,'Report Tables'!AT$1,'DATA INPUT'!$A$3:$A$3000,"&gt;="&amp;DATE(2023,11,1),'DATA INPUT'!$A$3:$A$3000,"&lt;"&amp;DATE(2023,11,31)))/COUNTIFS('DATA INPUT'!$B$3:$B$3000,'Report Tables'!AT$1,'DATA INPUT'!$A$3:$A$3000,"&gt;="&amp;DATE(2023,11,1),'DATA INPUT'!$A$3:$A$3000,"&lt;"&amp;DATE(2023,11,31)),#N/A),IFERROR((SUMIFS('DATA INPUT'!$E$3:$E$3000,'DATA INPUT'!$B$3:$B$3000,'Report Tables'!AT$1,'DATA INPUT'!$A$3:$A$3000,"&gt;="&amp;DATE(2023,11,1),'DATA INPUT'!$A$3:$A$3000,"&lt;"&amp;DATE(2023,11,31),'DATA INPUT'!$F$3:$F$3000,"&lt;&gt;*Exclude*"))/(COUNTIFS('DATA INPUT'!$B$3:$B$3000,'Report Tables'!AT$1,'DATA INPUT'!$A$3:$A$3000,"&gt;="&amp;DATE(2023,11,1),'DATA INPUT'!$A$3:$A$3000,"&lt;"&amp;DATE(2023,11,31),'DATA INPUT'!$F$3:$F$3000,"&lt;&gt;*Exclude*")),#N/A))</f>
        <v>#N/A</v>
      </c>
      <c r="AU85" s="117" t="e">
        <f t="shared" si="24"/>
        <v>#N/A</v>
      </c>
      <c r="AV85" s="117" t="e">
        <f>IF($L$2="Yes",IFERROR((SUMIFS('DATA INPUT'!$D$3:$D$3000,'DATA INPUT'!$A$3:$A$3000,"&gt;="&amp;DATE(2023,11,1),'DATA INPUT'!$A$3:$A$3000,"&lt;"&amp;DATE(2023,11,31),'DATA INPUT'!$G$3:$G$3000,"&lt;&gt;*School service*"))/COUNTIFS('DATA INPUT'!$A$3:$A$3000,"&gt;="&amp;DATE(2023,11,1),'DATA INPUT'!$A$3:$A$3000,"&lt;"&amp;DATE(2023,11,31),'DATA INPUT'!$G$3:$G$3000,"&lt;&gt;*School service*",'DATA INPUT'!$D$3:$D$3000,"&lt;&gt;"&amp;""),#N/A),IFERROR((SUMIFS('DATA INPUT'!$D$3:$D$3000,'DATA INPUT'!$A$3:$A$3000,"&gt;="&amp;DATE(2023,11,1),'DATA INPUT'!$A$3:$A$3000,"&lt;"&amp;DATE(2023,11,31),'DATA INPUT'!$F$3:$F$3000,"&lt;&gt;*Exclude*",'DATA INPUT'!$G$3:$G$3000,"&lt;&gt;*School service*"))/(COUNTIFS('DATA INPUT'!$A$3:$A$3000,"&gt;="&amp;DATE(2023,11,1),'DATA INPUT'!$A$3:$A$3000,"&lt;"&amp;DATE(2023,11,31),'DATA INPUT'!$F$3:$F$3000,"&lt;&gt;*Exclude*",'DATA INPUT'!$G$3:$G$3000,"&lt;&gt;*School service*",'DATA INPUT'!$D$3:$D$3000,"&lt;&gt;"&amp;"")),#N/A))</f>
        <v>#N/A</v>
      </c>
      <c r="AW85" s="117" t="e">
        <f t="shared" si="25"/>
        <v>#N/A</v>
      </c>
      <c r="AX85" s="117" t="e">
        <f>IF($L$2="Yes",IFERROR((SUMIFS('DATA INPUT'!$E$3:$E$3000,'DATA INPUT'!$B$3:$B$3000,'Report Tables'!AX$1,'DATA INPUT'!$A$3:$A$3000,"&gt;="&amp;DATE(2023,11,1),'DATA INPUT'!$A$3:$A$3000,"&lt;"&amp;DATE(2023,11,31)))/COUNTIFS('DATA INPUT'!$B$3:$B$3000,'Report Tables'!AX$1,'DATA INPUT'!$A$3:$A$3000,"&gt;="&amp;DATE(2023,11,1),'DATA INPUT'!$A$3:$A$3000,"&lt;"&amp;DATE(2023,11,31)),#N/A),IFERROR((SUMIFS('DATA INPUT'!$E$3:$E$3000,'DATA INPUT'!$B$3:$B$3000,'Report Tables'!AX$1,'DATA INPUT'!$A$3:$A$3000,"&gt;="&amp;DATE(2023,11,1),'DATA INPUT'!$A$3:$A$3000,"&lt;"&amp;DATE(2023,11,31),'DATA INPUT'!$F$3:$F$3000,"&lt;&gt;*Exclude*"))/(COUNTIFS('DATA INPUT'!$B$3:$B$3000,'Report Tables'!AX$1,'DATA INPUT'!$A$3:$A$3000,"&gt;="&amp;DATE(2023,11,1),'DATA INPUT'!$A$3:$A$3000,"&lt;"&amp;DATE(2023,11,31),'DATA INPUT'!$F$3:$F$3000,"&lt;&gt;*Exclude*")),#N/A))</f>
        <v>#N/A</v>
      </c>
      <c r="AY85" s="117" t="e">
        <f>IF($L$2="Yes",IFERROR((SUMIFS('DATA INPUT'!$D$3:$D$3000,'DATA INPUT'!$B$3:$B$3000,'Report Tables'!AX$1,'DATA INPUT'!$A$3:$A$3000,"&gt;="&amp;DATE(2023,11,1),'DATA INPUT'!$A$3:$A$3000,"&lt;"&amp;DATE(2023,11,31)))/COUNTIFS('DATA INPUT'!$B$3:$B$3000,'Report Tables'!AX$1,'DATA INPUT'!$A$3:$A$3000,"&gt;="&amp;DATE(2023,11,1),'DATA INPUT'!$A$3:$A$3000,"&lt;"&amp;DATE(2023,11,31)),#N/A),IFERROR((SUMIFS('DATA INPUT'!$D$3:$D$3000,'DATA INPUT'!$B$3:$B$3000,'Report Tables'!AX$1,'DATA INPUT'!$A$3:$A$3000,"&gt;="&amp;DATE(2023,11,1),'DATA INPUT'!$A$3:$A$3000,"&lt;"&amp;DATE(2023,11,31),'DATA INPUT'!$F$3:$F$3000,"&lt;&gt;*Exclude*"))/(COUNTIFS('DATA INPUT'!$B$3:$B$3000,'Report Tables'!AX$1,'DATA INPUT'!$A$3:$A$3000,"&gt;="&amp;DATE(2023,11,1),'DATA INPUT'!$A$3:$A$3000,"&lt;"&amp;DATE(2023,11,31),'DATA INPUT'!$F$3:$F$3000,"&lt;&gt;*Exclude*")),#N/A))</f>
        <v>#N/A</v>
      </c>
      <c r="AZ85" s="117" t="e">
        <f>IF($L$2="Yes",IFERROR((SUMIFS('DATA INPUT'!$C$3:$C$3000,'DATA INPUT'!$B$3:$B$3000,'Report Tables'!AX$1,'DATA INPUT'!$A$3:$A$3000,"&gt;="&amp;DATE(2023,11,1),'DATA INPUT'!$A$3:$A$3000,"&lt;"&amp;DATE(2023,11,31)))/COUNTIFS('DATA INPUT'!$B$3:$B$3000,'Report Tables'!AX$1,'DATA INPUT'!$A$3:$A$3000,"&gt;="&amp;DATE(2023,11,1),'DATA INPUT'!$A$3:$A$3000,"&lt;"&amp;DATE(2023,11,31)),#N/A),IFERROR((SUMIFS('DATA INPUT'!$C$3:$C$3000,'DATA INPUT'!$B$3:$B$3000,'Report Tables'!AX$1,'DATA INPUT'!$A$3:$A$3000,"&gt;="&amp;DATE(2023,11,1),'DATA INPUT'!$A$3:$A$3000,"&lt;"&amp;DATE(2023,11,31),'DATA INPUT'!$F$3:$F$3000,"&lt;&gt;*Exclude*"))/(COUNTIFS('DATA INPUT'!$B$3:$B$3000,'Report Tables'!AX$1,'DATA INPUT'!$A$3:$A$3000,"&gt;="&amp;DATE(2023,11,1),'DATA INPUT'!$A$3:$A$3000,"&lt;"&amp;DATE(2023,11,31),'DATA INPUT'!$F$3:$F$3000,"&lt;&gt;*Exclude*")),#N/A))</f>
        <v>#N/A</v>
      </c>
    </row>
    <row r="86" spans="25:52" x14ac:dyDescent="0.3">
      <c r="Y86" s="149"/>
      <c r="Z86" s="149" t="s">
        <v>23</v>
      </c>
      <c r="AA86" s="136" t="e">
        <f>IF($L$2="Yes",IF(SUMIFS('DATA INPUT'!$E$3:$E$3000,'DATA INPUT'!$B$3:$B$3000,'Report Tables'!AA$1,'DATA INPUT'!$A$3:$A$3000,"&gt;="&amp;DATE(2023,12,1),'DATA INPUT'!$A$3:$A$3000,"&lt;"&amp;DATE(2023,12,31))=0,#N/A,(SUMIFS('DATA INPUT'!$E$3:$E$3000,'DATA INPUT'!$B$3:$B$3000,'Report Tables'!AA$1,'DATA INPUT'!$A$3:$A$3000,"&gt;="&amp;DATE(2023,12,1),'DATA INPUT'!$A$3:$A$3000,"&lt;"&amp;DATE(2023,12,31)))),IF(SUMIFS('DATA INPUT'!$E$3:$E$3000,'DATA INPUT'!$B$3:$B$3000,'Report Tables'!AA$1,'DATA INPUT'!$A$3:$A$3000,"&gt;="&amp;DATE(2023,12,1),'DATA INPUT'!$A$3:$A$3000,"&lt;"&amp;DATE(2023,12,31),'DATA INPUT'!$F$3:$F$3000,"&lt;&gt;*Exclude*")=0,#N/A,(SUMIFS('DATA INPUT'!$E$3:$E$3000,'DATA INPUT'!$B$3:$B$3000,'Report Tables'!AA$1,'DATA INPUT'!$A$3:$A$3000,"&gt;="&amp;DATE(2023,12,1),'DATA INPUT'!$A$3:$A$3000,"&lt;"&amp;DATE(2023,12,31),'DATA INPUT'!$F$3:$F$3000,"&lt;&gt;*Exclude*"))))</f>
        <v>#N/A</v>
      </c>
      <c r="AB86" s="136" t="e">
        <f>IF($L$2="Yes",IF(SUMIFS('DATA INPUT'!$E$3:$E$3000,'DATA INPUT'!$B$3:$B$3000,'Report Tables'!AB$1,'DATA INPUT'!$A$3:$A$3000,"&gt;="&amp;DATE(2023,12,1),'DATA INPUT'!$A$3:$A$3000,"&lt;"&amp;DATE(2023,12,31))=0,#N/A,(SUMIFS('DATA INPUT'!$E$3:$E$3000,'DATA INPUT'!$B$3:$B$3000,'Report Tables'!AB$1,'DATA INPUT'!$A$3:$A$3000,"&gt;="&amp;DATE(2023,12,1),'DATA INPUT'!$A$3:$A$3000,"&lt;"&amp;DATE(2023,12,31)))),IF(SUMIFS('DATA INPUT'!$E$3:$E$3000,'DATA INPUT'!$B$3:$B$3000,'Report Tables'!AB$1,'DATA INPUT'!$A$3:$A$3000,"&gt;="&amp;DATE(2023,12,1),'DATA INPUT'!$A$3:$A$3000,"&lt;"&amp;DATE(2023,12,31),'DATA INPUT'!$F$3:$F$3000,"&lt;&gt;*Exclude*")=0,#N/A,(SUMIFS('DATA INPUT'!$E$3:$E$3000,'DATA INPUT'!$B$3:$B$3000,'Report Tables'!AB$1,'DATA INPUT'!$A$3:$A$3000,"&gt;="&amp;DATE(2023,12,1),'DATA INPUT'!$A$3:$A$3000,"&lt;"&amp;DATE(2023,12,31),'DATA INPUT'!$F$3:$F$3000,"&lt;&gt;*Exclude*"))))</f>
        <v>#N/A</v>
      </c>
      <c r="AC86" s="136" t="e">
        <f>IF($L$2="Yes",IF(SUMIFS('DATA INPUT'!$E$3:$E$3000,'DATA INPUT'!$B$3:$B$3000,'Report Tables'!AC$1,'DATA INPUT'!$A$3:$A$3000,"&gt;="&amp;DATE(2023,12,1),'DATA INPUT'!$A$3:$A$3000,"&lt;"&amp;DATE(2023,12,31))=0,#N/A,(SUMIFS('DATA INPUT'!$E$3:$E$3000,'DATA INPUT'!$B$3:$B$3000,'Report Tables'!AC$1,'DATA INPUT'!$A$3:$A$3000,"&gt;="&amp;DATE(2023,12,1),'DATA INPUT'!$A$3:$A$3000,"&lt;"&amp;DATE(2023,12,31)))),IF(SUMIFS('DATA INPUT'!$E$3:$E$3000,'DATA INPUT'!$B$3:$B$3000,'Report Tables'!AC$1,'DATA INPUT'!$A$3:$A$3000,"&gt;="&amp;DATE(2023,12,1),'DATA INPUT'!$A$3:$A$3000,"&lt;"&amp;DATE(2023,12,31),'DATA INPUT'!$F$3:$F$3000,"&lt;&gt;*Exclude*")=0,#N/A,(SUMIFS('DATA INPUT'!$E$3:$E$3000,'DATA INPUT'!$B$3:$B$3000,'Report Tables'!AC$1,'DATA INPUT'!$A$3:$A$3000,"&gt;="&amp;DATE(2023,12,1),'DATA INPUT'!$A$3:$A$3000,"&lt;"&amp;DATE(2023,12,31),'DATA INPUT'!$F$3:$F$3000,"&lt;&gt;*Exclude*"))))</f>
        <v>#N/A</v>
      </c>
      <c r="AD86" s="136" t="e">
        <f>IF($L$2="Yes",IF(SUMIFS('DATA INPUT'!$E$3:$E$3000,'DATA INPUT'!$B$3:$B$3000,'Report Tables'!AD$1,'DATA INPUT'!$A$3:$A$3000,"&gt;="&amp;DATE(2023,12,1),'DATA INPUT'!$A$3:$A$3000,"&lt;"&amp;DATE(2023,12,31))=0,#N/A,(SUMIFS('DATA INPUT'!$E$3:$E$3000,'DATA INPUT'!$B$3:$B$3000,'Report Tables'!AD$1,'DATA INPUT'!$A$3:$A$3000,"&gt;="&amp;DATE(2023,12,1),'DATA INPUT'!$A$3:$A$3000,"&lt;"&amp;DATE(2023,12,31)))),IF(SUMIFS('DATA INPUT'!$E$3:$E$3000,'DATA INPUT'!$B$3:$B$3000,'Report Tables'!AD$1,'DATA INPUT'!$A$3:$A$3000,"&gt;="&amp;DATE(2023,12,1),'DATA INPUT'!$A$3:$A$3000,"&lt;"&amp;DATE(2023,12,31),'DATA INPUT'!$F$3:$F$3000,"&lt;&gt;*Exclude*")=0,#N/A,(SUMIFS('DATA INPUT'!$E$3:$E$3000,'DATA INPUT'!$B$3:$B$3000,'Report Tables'!AD$1,'DATA INPUT'!$A$3:$A$3000,"&gt;="&amp;DATE(2023,12,1),'DATA INPUT'!$A$3:$A$3000,"&lt;"&amp;DATE(2023,12,31),'DATA INPUT'!$F$3:$F$3000,"&lt;&gt;*Exclude*"))))</f>
        <v>#N/A</v>
      </c>
      <c r="AE86" s="136" t="e">
        <f>IF($L$2="Yes",IF(SUMIFS('DATA INPUT'!$E$3:$E$3000,'DATA INPUT'!$B$3:$B$3000,'Report Tables'!AE$1,'DATA INPUT'!$A$3:$A$3000,"&gt;="&amp;DATE(2023,12,1),'DATA INPUT'!$A$3:$A$3000,"&lt;"&amp;DATE(2023,12,31))=0,#N/A,(SUMIFS('DATA INPUT'!$E$3:$E$3000,'DATA INPUT'!$B$3:$B$3000,'Report Tables'!AE$1,'DATA INPUT'!$A$3:$A$3000,"&gt;="&amp;DATE(2023,12,1),'DATA INPUT'!$A$3:$A$3000,"&lt;"&amp;DATE(2023,12,31)))),IF(SUMIFS('DATA INPUT'!$E$3:$E$3000,'DATA INPUT'!$B$3:$B$3000,'Report Tables'!AE$1,'DATA INPUT'!$A$3:$A$3000,"&gt;="&amp;DATE(2023,12,1),'DATA INPUT'!$A$3:$A$3000,"&lt;"&amp;DATE(2023,12,31),'DATA INPUT'!$F$3:$F$3000,"&lt;&gt;*Exclude*")=0,#N/A,(SUMIFS('DATA INPUT'!$E$3:$E$3000,'DATA INPUT'!$B$3:$B$3000,'Report Tables'!AE$1,'DATA INPUT'!$A$3:$A$3000,"&gt;="&amp;DATE(2023,12,1),'DATA INPUT'!$A$3:$A$3000,"&lt;"&amp;DATE(2023,12,31),'DATA INPUT'!$F$3:$F$3000,"&lt;&gt;*Exclude*"))))</f>
        <v>#N/A</v>
      </c>
      <c r="AF86" s="136" t="e">
        <f>IF($L$2="Yes",IF(SUMIFS('DATA INPUT'!$E$3:$E$3000,'DATA INPUT'!$B$3:$B$3000,'Report Tables'!AF$1,'DATA INPUT'!$A$3:$A$3000,"&gt;="&amp;DATE(2023,12,1),'DATA INPUT'!$A$3:$A$3000,"&lt;"&amp;DATE(2023,12,31))=0,#N/A,(SUMIFS('DATA INPUT'!$E$3:$E$3000,'DATA INPUT'!$B$3:$B$3000,'Report Tables'!AF$1,'DATA INPUT'!$A$3:$A$3000,"&gt;="&amp;DATE(2023,12,1),'DATA INPUT'!$A$3:$A$3000,"&lt;"&amp;DATE(2023,12,31)))),IF(SUMIFS('DATA INPUT'!$E$3:$E$3000,'DATA INPUT'!$B$3:$B$3000,'Report Tables'!AF$1,'DATA INPUT'!$A$3:$A$3000,"&gt;="&amp;DATE(2023,12,1),'DATA INPUT'!$A$3:$A$3000,"&lt;"&amp;DATE(2023,12,31),'DATA INPUT'!$F$3:$F$3000,"&lt;&gt;*Exclude*")=0,#N/A,(SUMIFS('DATA INPUT'!$E$3:$E$3000,'DATA INPUT'!$B$3:$B$3000,'Report Tables'!AF$1,'DATA INPUT'!$A$3:$A$3000,"&gt;="&amp;DATE(2023,12,1),'DATA INPUT'!$A$3:$A$3000,"&lt;"&amp;DATE(2023,12,31),'DATA INPUT'!$F$3:$F$3000,"&lt;&gt;*Exclude*"))))</f>
        <v>#N/A</v>
      </c>
      <c r="AG86" s="136" t="e">
        <f>IF($L$2="Yes",IF(SUMIFS('DATA INPUT'!$E$3:$E$3000,'DATA INPUT'!$B$3:$B$3000,'Report Tables'!AG$1,'DATA INPUT'!$A$3:$A$3000,"&gt;="&amp;DATE(2023,12,1),'DATA INPUT'!$A$3:$A$3000,"&lt;"&amp;DATE(2023,12,31))=0,#N/A,(SUMIFS('DATA INPUT'!$E$3:$E$3000,'DATA INPUT'!$B$3:$B$3000,'Report Tables'!AG$1,'DATA INPUT'!$A$3:$A$3000,"&gt;="&amp;DATE(2023,12,1),'DATA INPUT'!$A$3:$A$3000,"&lt;"&amp;DATE(2023,12,31)))),IF(SUMIFS('DATA INPUT'!$E$3:$E$3000,'DATA INPUT'!$B$3:$B$3000,'Report Tables'!AG$1,'DATA INPUT'!$A$3:$A$3000,"&gt;="&amp;DATE(2023,12,1),'DATA INPUT'!$A$3:$A$3000,"&lt;"&amp;DATE(2023,12,31),'DATA INPUT'!$F$3:$F$3000,"&lt;&gt;*Exclude*")=0,#N/A,(SUMIFS('DATA INPUT'!$E$3:$E$3000,'DATA INPUT'!$B$3:$B$3000,'Report Tables'!AG$1,'DATA INPUT'!$A$3:$A$3000,"&gt;="&amp;DATE(2023,12,1),'DATA INPUT'!$A$3:$A$3000,"&lt;"&amp;DATE(2023,12,31),'DATA INPUT'!$F$3:$F$3000,"&lt;&gt;*Exclude*"))))</f>
        <v>#N/A</v>
      </c>
      <c r="AH86" s="136" t="e">
        <f>IF($L$2="Yes",IF(SUMIFS('DATA INPUT'!$E$3:$E$3000,'DATA INPUT'!$B$3:$B$3000,'Report Tables'!AH$1,'DATA INPUT'!$A$3:$A$3000,"&gt;="&amp;DATE(2023,12,1),'DATA INPUT'!$A$3:$A$3000,"&lt;"&amp;DATE(2023,12,31))=0,#N/A,(SUMIFS('DATA INPUT'!$E$3:$E$3000,'DATA INPUT'!$B$3:$B$3000,'Report Tables'!AH$1,'DATA INPUT'!$A$3:$A$3000,"&gt;="&amp;DATE(2023,12,1),'DATA INPUT'!$A$3:$A$3000,"&lt;"&amp;DATE(2023,12,31)))),IF(SUMIFS('DATA INPUT'!$E$3:$E$3000,'DATA INPUT'!$B$3:$B$3000,'Report Tables'!AH$1,'DATA INPUT'!$A$3:$A$3000,"&gt;="&amp;DATE(2023,12,1),'DATA INPUT'!$A$3:$A$3000,"&lt;"&amp;DATE(2023,12,31),'DATA INPUT'!$F$3:$F$3000,"&lt;&gt;*Exclude*")=0,#N/A,(SUMIFS('DATA INPUT'!$E$3:$E$3000,'DATA INPUT'!$B$3:$B$3000,'Report Tables'!AH$1,'DATA INPUT'!$A$3:$A$3000,"&gt;="&amp;DATE(2023,12,1),'DATA INPUT'!$A$3:$A$3000,"&lt;"&amp;DATE(2023,12,31),'DATA INPUT'!$F$3:$F$3000,"&lt;&gt;*Exclude*"))))</f>
        <v>#N/A</v>
      </c>
      <c r="AI86" s="136" t="e">
        <f t="shared" si="23"/>
        <v>#N/A</v>
      </c>
      <c r="AJ86" s="136" t="e">
        <f>IF($L$2="Yes",IF(SUMIFS('DATA INPUT'!$D$3:$D$3000,'DATA INPUT'!$A$3:$A$3000,"&gt;="&amp;DATE(2023,12,1),'DATA INPUT'!$A$3:$A$3000,"&lt;"&amp;DATE(2023,12,31),'DATA INPUT'!$G$3:$G$3000,"&lt;&gt;*School service*")=0,#N/A,(SUMIFS('DATA INPUT'!$D$3:$D$3000,'DATA INPUT'!$A$3:$A$3000,"&gt;="&amp;DATE(2023,12,1),'DATA INPUT'!$A$3:$A$3000,"&lt;"&amp;DATE(2023,12,31),'DATA INPUT'!$G$3:$G$3000,"&lt;&gt;*School service*"))),IF(SUMIFS('DATA INPUT'!$D$3:$D$3000,'DATA INPUT'!$A$3:$A$3000,"&gt;="&amp;DATE(2023,12,1),'DATA INPUT'!$A$3:$A$3000,"&lt;"&amp;DATE(2023,12,31),'DATA INPUT'!$F$3:$F$3000,"&lt;&gt;*Exclude*",'DATA INPUT'!$G$3:$G$3000,"&lt;&gt;*School service*")=0,#N/A,(SUMIFS('DATA INPUT'!$D$3:$D$3000,'DATA INPUT'!$A$3:$A$3000,"&gt;="&amp;DATE(2023,12,1),'DATA INPUT'!$A$3:$A$3000,"&lt;"&amp;DATE(2023,12,31),'DATA INPUT'!$F$3:$F$3000,"&lt;&gt;*Exclude*",'DATA INPUT'!$G$3:$G$3000,"&lt;&gt;*School service*"))))</f>
        <v>#N/A</v>
      </c>
      <c r="AK86" s="136" t="e">
        <f>AI86-AJ86</f>
        <v>#N/A</v>
      </c>
      <c r="AM86" s="117" t="e">
        <f>IF($L$2="Yes",IFERROR((SUMIFS('DATA INPUT'!$E$3:$E$3000,'DATA INPUT'!$B$3:$B$3000,'Report Tables'!AM$1,'DATA INPUT'!$A$3:$A$3000,"&gt;="&amp;DATE(2023,12,1),'DATA INPUT'!$A$3:$A$3000,"&lt;"&amp;DATE(2023,12,31)))/COUNTIFS('DATA INPUT'!$B$3:$B$3000,'Report Tables'!AM$1,'DATA INPUT'!$A$3:$A$3000,"&gt;="&amp;DATE(2023,12,1),'DATA INPUT'!$A$3:$A$3000,"&lt;"&amp;DATE(2023,12,31)),#N/A),IFERROR((SUMIFS('DATA INPUT'!$E$3:$E$3000,'DATA INPUT'!$B$3:$B$3000,'Report Tables'!AM$1,'DATA INPUT'!$A$3:$A$3000,"&gt;="&amp;DATE(2023,12,1),'DATA INPUT'!$A$3:$A$3000,"&lt;"&amp;DATE(2023,12,31),'DATA INPUT'!$F$3:$F$3000,"&lt;&gt;*Exclude*"))/(COUNTIFS('DATA INPUT'!$B$3:$B$3000,'Report Tables'!AM$1,'DATA INPUT'!$A$3:$A$3000,"&gt;="&amp;DATE(2023,12,1),'DATA INPUT'!$A$3:$A$3000,"&lt;"&amp;DATE(2023,12,31),'DATA INPUT'!$F$3:$F$3000,"&lt;&gt;*Exclude*")),#N/A))</f>
        <v>#N/A</v>
      </c>
      <c r="AN86" s="117" t="e">
        <f>IF($L$2="Yes",IFERROR((SUMIFS('DATA INPUT'!$E$3:$E$3000,'DATA INPUT'!$B$3:$B$3000,'Report Tables'!AN$1,'DATA INPUT'!$A$3:$A$3000,"&gt;="&amp;DATE(2023,12,1),'DATA INPUT'!$A$3:$A$3000,"&lt;"&amp;DATE(2023,12,31)))/COUNTIFS('DATA INPUT'!$B$3:$B$3000,'Report Tables'!AN$1,'DATA INPUT'!$A$3:$A$3000,"&gt;="&amp;DATE(2023,12,1),'DATA INPUT'!$A$3:$A$3000,"&lt;"&amp;DATE(2023,12,31)),#N/A),IFERROR((SUMIFS('DATA INPUT'!$E$3:$E$3000,'DATA INPUT'!$B$3:$B$3000,'Report Tables'!AN$1,'DATA INPUT'!$A$3:$A$3000,"&gt;="&amp;DATE(2023,12,1),'DATA INPUT'!$A$3:$A$3000,"&lt;"&amp;DATE(2023,12,31),'DATA INPUT'!$F$3:$F$3000,"&lt;&gt;*Exclude*"))/(COUNTIFS('DATA INPUT'!$B$3:$B$3000,'Report Tables'!AN$1,'DATA INPUT'!$A$3:$A$3000,"&gt;="&amp;DATE(2023,12,1),'DATA INPUT'!$A$3:$A$3000,"&lt;"&amp;DATE(2023,12,31),'DATA INPUT'!$F$3:$F$3000,"&lt;&gt;*Exclude*")),#N/A))</f>
        <v>#N/A</v>
      </c>
      <c r="AO86" s="117" t="e">
        <f>IF($L$2="Yes",IFERROR((SUMIFS('DATA INPUT'!$E$3:$E$3000,'DATA INPUT'!$B$3:$B$3000,'Report Tables'!AO$1,'DATA INPUT'!$A$3:$A$3000,"&gt;="&amp;DATE(2023,12,1),'DATA INPUT'!$A$3:$A$3000,"&lt;"&amp;DATE(2023,12,31)))/COUNTIFS('DATA INPUT'!$B$3:$B$3000,'Report Tables'!AO$1,'DATA INPUT'!$A$3:$A$3000,"&gt;="&amp;DATE(2023,12,1),'DATA INPUT'!$A$3:$A$3000,"&lt;"&amp;DATE(2023,12,31)),#N/A),IFERROR((SUMIFS('DATA INPUT'!$E$3:$E$3000,'DATA INPUT'!$B$3:$B$3000,'Report Tables'!AO$1,'DATA INPUT'!$A$3:$A$3000,"&gt;="&amp;DATE(2023,12,1),'DATA INPUT'!$A$3:$A$3000,"&lt;"&amp;DATE(2023,12,31),'DATA INPUT'!$F$3:$F$3000,"&lt;&gt;*Exclude*"))/(COUNTIFS('DATA INPUT'!$B$3:$B$3000,'Report Tables'!AO$1,'DATA INPUT'!$A$3:$A$3000,"&gt;="&amp;DATE(2023,12,1),'DATA INPUT'!$A$3:$A$3000,"&lt;"&amp;DATE(2023,12,31),'DATA INPUT'!$F$3:$F$3000,"&lt;&gt;*Exclude*")),#N/A))</f>
        <v>#N/A</v>
      </c>
      <c r="AP86" s="117" t="e">
        <f>IF($L$2="Yes",IFERROR((SUMIFS('DATA INPUT'!$E$3:$E$3000,'DATA INPUT'!$B$3:$B$3000,'Report Tables'!AP$1,'DATA INPUT'!$A$3:$A$3000,"&gt;="&amp;DATE(2023,12,1),'DATA INPUT'!$A$3:$A$3000,"&lt;"&amp;DATE(2023,12,31)))/COUNTIFS('DATA INPUT'!$B$3:$B$3000,'Report Tables'!AP$1,'DATA INPUT'!$A$3:$A$3000,"&gt;="&amp;DATE(2023,12,1),'DATA INPUT'!$A$3:$A$3000,"&lt;"&amp;DATE(2023,12,31)),#N/A),IFERROR((SUMIFS('DATA INPUT'!$E$3:$E$3000,'DATA INPUT'!$B$3:$B$3000,'Report Tables'!AP$1,'DATA INPUT'!$A$3:$A$3000,"&gt;="&amp;DATE(2023,12,1),'DATA INPUT'!$A$3:$A$3000,"&lt;"&amp;DATE(2023,12,31),'DATA INPUT'!$F$3:$F$3000,"&lt;&gt;*Exclude*"))/(COUNTIFS('DATA INPUT'!$B$3:$B$3000,'Report Tables'!AP$1,'DATA INPUT'!$A$3:$A$3000,"&gt;="&amp;DATE(2023,12,1),'DATA INPUT'!$A$3:$A$3000,"&lt;"&amp;DATE(2023,12,31),'DATA INPUT'!$F$3:$F$3000,"&lt;&gt;*Exclude*")),#N/A))</f>
        <v>#N/A</v>
      </c>
      <c r="AQ86" s="117" t="e">
        <f>IF($L$2="Yes",IFERROR((SUMIFS('DATA INPUT'!$E$3:$E$3000,'DATA INPUT'!$B$3:$B$3000,'Report Tables'!AQ$1,'DATA INPUT'!$A$3:$A$3000,"&gt;="&amp;DATE(2023,12,1),'DATA INPUT'!$A$3:$A$3000,"&lt;"&amp;DATE(2023,12,31)))/COUNTIFS('DATA INPUT'!$B$3:$B$3000,'Report Tables'!AQ$1,'DATA INPUT'!$A$3:$A$3000,"&gt;="&amp;DATE(2023,12,1),'DATA INPUT'!$A$3:$A$3000,"&lt;"&amp;DATE(2023,12,31)),#N/A),IFERROR((SUMIFS('DATA INPUT'!$E$3:$E$3000,'DATA INPUT'!$B$3:$B$3000,'Report Tables'!AQ$1,'DATA INPUT'!$A$3:$A$3000,"&gt;="&amp;DATE(2023,12,1),'DATA INPUT'!$A$3:$A$3000,"&lt;"&amp;DATE(2023,12,31),'DATA INPUT'!$F$3:$F$3000,"&lt;&gt;*Exclude*"))/(COUNTIFS('DATA INPUT'!$B$3:$B$3000,'Report Tables'!AQ$1,'DATA INPUT'!$A$3:$A$3000,"&gt;="&amp;DATE(2023,12,1),'DATA INPUT'!$A$3:$A$3000,"&lt;"&amp;DATE(2023,12,31),'DATA INPUT'!$F$3:$F$3000,"&lt;&gt;*Exclude*")),#N/A))</f>
        <v>#N/A</v>
      </c>
      <c r="AR86" s="117" t="e">
        <f>IF($L$2="Yes",IFERROR((SUMIFS('DATA INPUT'!$E$3:$E$3000,'DATA INPUT'!$B$3:$B$3000,'Report Tables'!AR$1,'DATA INPUT'!$A$3:$A$3000,"&gt;="&amp;DATE(2023,12,1),'DATA INPUT'!$A$3:$A$3000,"&lt;"&amp;DATE(2023,12,31)))/COUNTIFS('DATA INPUT'!$B$3:$B$3000,'Report Tables'!AR$1,'DATA INPUT'!$A$3:$A$3000,"&gt;="&amp;DATE(2023,12,1),'DATA INPUT'!$A$3:$A$3000,"&lt;"&amp;DATE(2023,12,31)),#N/A),IFERROR((SUMIFS('DATA INPUT'!$E$3:$E$3000,'DATA INPUT'!$B$3:$B$3000,'Report Tables'!AR$1,'DATA INPUT'!$A$3:$A$3000,"&gt;="&amp;DATE(2023,12,1),'DATA INPUT'!$A$3:$A$3000,"&lt;"&amp;DATE(2023,12,31),'DATA INPUT'!$F$3:$F$3000,"&lt;&gt;*Exclude*"))/(COUNTIFS('DATA INPUT'!$B$3:$B$3000,'Report Tables'!AR$1,'DATA INPUT'!$A$3:$A$3000,"&gt;="&amp;DATE(2023,12,1),'DATA INPUT'!$A$3:$A$3000,"&lt;"&amp;DATE(2023,12,31),'DATA INPUT'!$F$3:$F$3000,"&lt;&gt;*Exclude*")),#N/A))</f>
        <v>#N/A</v>
      </c>
      <c r="AS86" s="117" t="e">
        <f>IF($L$2="Yes",IFERROR((SUMIFS('DATA INPUT'!$E$3:$E$3000,'DATA INPUT'!$B$3:$B$3000,'Report Tables'!AS$1,'DATA INPUT'!$A$3:$A$3000,"&gt;="&amp;DATE(2023,12,1),'DATA INPUT'!$A$3:$A$3000,"&lt;"&amp;DATE(2023,12,31)))/COUNTIFS('DATA INPUT'!$B$3:$B$3000,'Report Tables'!AS$1,'DATA INPUT'!$A$3:$A$3000,"&gt;="&amp;DATE(2023,12,1),'DATA INPUT'!$A$3:$A$3000,"&lt;"&amp;DATE(2023,12,31)),#N/A),IFERROR((SUMIFS('DATA INPUT'!$E$3:$E$3000,'DATA INPUT'!$B$3:$B$3000,'Report Tables'!AS$1,'DATA INPUT'!$A$3:$A$3000,"&gt;="&amp;DATE(2023,12,1),'DATA INPUT'!$A$3:$A$3000,"&lt;"&amp;DATE(2023,12,31),'DATA INPUT'!$F$3:$F$3000,"&lt;&gt;*Exclude*"))/(COUNTIFS('DATA INPUT'!$B$3:$B$3000,'Report Tables'!AS$1,'DATA INPUT'!$A$3:$A$3000,"&gt;="&amp;DATE(2023,12,1),'DATA INPUT'!$A$3:$A$3000,"&lt;"&amp;DATE(2023,12,31),'DATA INPUT'!$F$3:$F$3000,"&lt;&gt;*Exclude*")),#N/A))</f>
        <v>#N/A</v>
      </c>
      <c r="AT86" s="117" t="e">
        <f>IF($L$2="Yes",IFERROR((SUMIFS('DATA INPUT'!$E$3:$E$3000,'DATA INPUT'!$B$3:$B$3000,'Report Tables'!AT$1,'DATA INPUT'!$A$3:$A$3000,"&gt;="&amp;DATE(2023,12,1),'DATA INPUT'!$A$3:$A$3000,"&lt;"&amp;DATE(2023,12,31)))/COUNTIFS('DATA INPUT'!$B$3:$B$3000,'Report Tables'!AT$1,'DATA INPUT'!$A$3:$A$3000,"&gt;="&amp;DATE(2023,12,1),'DATA INPUT'!$A$3:$A$3000,"&lt;"&amp;DATE(2023,12,31)),#N/A),IFERROR((SUMIFS('DATA INPUT'!$E$3:$E$3000,'DATA INPUT'!$B$3:$B$3000,'Report Tables'!AT$1,'DATA INPUT'!$A$3:$A$3000,"&gt;="&amp;DATE(2023,12,1),'DATA INPUT'!$A$3:$A$3000,"&lt;"&amp;DATE(2023,12,31),'DATA INPUT'!$F$3:$F$3000,"&lt;&gt;*Exclude*"))/(COUNTIFS('DATA INPUT'!$B$3:$B$3000,'Report Tables'!AT$1,'DATA INPUT'!$A$3:$A$3000,"&gt;="&amp;DATE(2023,12,1),'DATA INPUT'!$A$3:$A$3000,"&lt;"&amp;DATE(2023,12,31),'DATA INPUT'!$F$3:$F$3000,"&lt;&gt;*Exclude*")),#N/A))</f>
        <v>#N/A</v>
      </c>
      <c r="AU86" s="117" t="e">
        <f t="shared" si="24"/>
        <v>#N/A</v>
      </c>
      <c r="AV86" s="117" t="e">
        <f>IF($L$2="Yes",IFERROR((SUMIFS('DATA INPUT'!$D$3:$D$3000,'DATA INPUT'!$A$3:$A$3000,"&gt;="&amp;DATE(2023,12,1),'DATA INPUT'!$A$3:$A$3000,"&lt;"&amp;DATE(2023,12,31),'DATA INPUT'!$G$3:$G$3000,"&lt;&gt;*School service*"))/COUNTIFS('DATA INPUT'!$A$3:$A$3000,"&gt;="&amp;DATE(2023,12,1),'DATA INPUT'!$A$3:$A$3000,"&lt;"&amp;DATE(2023,12,31),'DATA INPUT'!$G$3:$G$3000,"&lt;&gt;*School service*",'DATA INPUT'!$D$3:$D$3000,"&lt;&gt;"&amp;""),#N/A),IFERROR((SUMIFS('DATA INPUT'!$D$3:$D$3000,'DATA INPUT'!$A$3:$A$3000,"&gt;="&amp;DATE(2023,12,1),'DATA INPUT'!$A$3:$A$3000,"&lt;"&amp;DATE(2023,12,31),'DATA INPUT'!$F$3:$F$3000,"&lt;&gt;*Exclude*",'DATA INPUT'!$G$3:$G$3000,"&lt;&gt;*School service*"))/(COUNTIFS('DATA INPUT'!$A$3:$A$3000,"&gt;="&amp;DATE(2023,12,1),'DATA INPUT'!$A$3:$A$3000,"&lt;"&amp;DATE(2023,12,31),'DATA INPUT'!$F$3:$F$3000,"&lt;&gt;*Exclude*",'DATA INPUT'!$G$3:$G$3000,"&lt;&gt;*School service*",'DATA INPUT'!$D$3:$D$3000,"&lt;&gt;"&amp;"")),#N/A))</f>
        <v>#N/A</v>
      </c>
      <c r="AW86" s="117" t="e">
        <f t="shared" si="25"/>
        <v>#N/A</v>
      </c>
      <c r="AX86" s="117" t="e">
        <f>IF($L$2="Yes",IFERROR((SUMIFS('DATA INPUT'!$E$3:$E$3000,'DATA INPUT'!$B$3:$B$3000,'Report Tables'!AX$1,'DATA INPUT'!$A$3:$A$3000,"&gt;="&amp;DATE(2023,12,1),'DATA INPUT'!$A$3:$A$3000,"&lt;"&amp;DATE(2023,12,31)))/COUNTIFS('DATA INPUT'!$B$3:$B$3000,'Report Tables'!AX$1,'DATA INPUT'!$A$3:$A$3000,"&gt;="&amp;DATE(2023,12,1),'DATA INPUT'!$A$3:$A$3000,"&lt;"&amp;DATE(2023,12,31)),#N/A),IFERROR((SUMIFS('DATA INPUT'!$E$3:$E$3000,'DATA INPUT'!$B$3:$B$3000,'Report Tables'!AX$1,'DATA INPUT'!$A$3:$A$3000,"&gt;="&amp;DATE(2023,12,1),'DATA INPUT'!$A$3:$A$3000,"&lt;"&amp;DATE(2023,12,31),'DATA INPUT'!$F$3:$F$3000,"&lt;&gt;*Exclude*"))/(COUNTIFS('DATA INPUT'!$B$3:$B$3000,'Report Tables'!AX$1,'DATA INPUT'!$A$3:$A$3000,"&gt;="&amp;DATE(2023,12,1),'DATA INPUT'!$A$3:$A$3000,"&lt;"&amp;DATE(2023,12,31),'DATA INPUT'!$F$3:$F$3000,"&lt;&gt;*Exclude*")),#N/A))</f>
        <v>#N/A</v>
      </c>
      <c r="AY86" s="117" t="e">
        <f>IF($L$2="Yes",IFERROR((SUMIFS('DATA INPUT'!$D$3:$D$3000,'DATA INPUT'!$B$3:$B$3000,'Report Tables'!AX$1,'DATA INPUT'!$A$3:$A$3000,"&gt;="&amp;DATE(2023,12,1),'DATA INPUT'!$A$3:$A$3000,"&lt;"&amp;DATE(2023,12,31)))/COUNTIFS('DATA INPUT'!$B$3:$B$3000,'Report Tables'!AX$1,'DATA INPUT'!$A$3:$A$3000,"&gt;="&amp;DATE(2023,12,1),'DATA INPUT'!$A$3:$A$3000,"&lt;"&amp;DATE(2023,12,31)),#N/A),IFERROR((SUMIFS('DATA INPUT'!$D$3:$D$3000,'DATA INPUT'!$B$3:$B$3000,'Report Tables'!AX$1,'DATA INPUT'!$A$3:$A$3000,"&gt;="&amp;DATE(2023,12,1),'DATA INPUT'!$A$3:$A$3000,"&lt;"&amp;DATE(2023,12,31),'DATA INPUT'!$F$3:$F$3000,"&lt;&gt;*Exclude*"))/(COUNTIFS('DATA INPUT'!$B$3:$B$3000,'Report Tables'!AX$1,'DATA INPUT'!$A$3:$A$3000,"&gt;="&amp;DATE(2023,12,1),'DATA INPUT'!$A$3:$A$3000,"&lt;"&amp;DATE(2023,12,31),'DATA INPUT'!$F$3:$F$3000,"&lt;&gt;*Exclude*")),#N/A))</f>
        <v>#N/A</v>
      </c>
      <c r="AZ86" s="117" t="e">
        <f>IF($L$2="Yes",IFERROR((SUMIFS('DATA INPUT'!$C$3:$C$3000,'DATA INPUT'!$B$3:$B$3000,'Report Tables'!AX$1,'DATA INPUT'!$A$3:$A$3000,"&gt;="&amp;DATE(2023,12,1),'DATA INPUT'!$A$3:$A$3000,"&lt;"&amp;DATE(2023,12,31)))/COUNTIFS('DATA INPUT'!$B$3:$B$3000,'Report Tables'!AX$1,'DATA INPUT'!$A$3:$A$3000,"&gt;="&amp;DATE(2023,12,1),'DATA INPUT'!$A$3:$A$3000,"&lt;"&amp;DATE(2023,12,31)),#N/A),IFERROR((SUMIFS('DATA INPUT'!$C$3:$C$3000,'DATA INPUT'!$B$3:$B$3000,'Report Tables'!AX$1,'DATA INPUT'!$A$3:$A$3000,"&gt;="&amp;DATE(2023,12,1),'DATA INPUT'!$A$3:$A$3000,"&lt;"&amp;DATE(2023,12,31),'DATA INPUT'!$F$3:$F$3000,"&lt;&gt;*Exclude*"))/(COUNTIFS('DATA INPUT'!$B$3:$B$3000,'Report Tables'!AX$1,'DATA INPUT'!$A$3:$A$3000,"&gt;="&amp;DATE(2023,12,1),'DATA INPUT'!$A$3:$A$3000,"&lt;"&amp;DATE(2023,12,31),'DATA INPUT'!$F$3:$F$3000,"&lt;&gt;*Exclude*")),#N/A))</f>
        <v>#N/A</v>
      </c>
    </row>
    <row r="87" spans="25:52" x14ac:dyDescent="0.3">
      <c r="Y87" s="149">
        <v>2024</v>
      </c>
      <c r="Z87" s="149" t="s">
        <v>12</v>
      </c>
      <c r="AA87" s="136" t="e">
        <f>IF($L$2="Yes",IF(SUMIFS('DATA INPUT'!$E$3:$E$3000,'DATA INPUT'!$B$3:$B$3000,'Report Tables'!AA$1,'DATA INPUT'!$A$3:$A$3000,"&gt;="&amp;DATE(2024,1,1),'DATA INPUT'!$A$3:$A$3000,"&lt;"&amp;DATE(2024,1,31))=0,#N/A,(SUMIFS('DATA INPUT'!$E$3:$E$3000,'DATA INPUT'!$B$3:$B$3000,'Report Tables'!AA$1,'DATA INPUT'!$A$3:$A$3000,"&gt;="&amp;DATE(2024,1,1),'DATA INPUT'!$A$3:$A$3000,"&lt;"&amp;DATE(2024,1,31)))),IF(SUMIFS('DATA INPUT'!$E$3:$E$3000,'DATA INPUT'!$B$3:$B$3000,'Report Tables'!AA$1,'DATA INPUT'!$A$3:$A$3000,"&gt;="&amp;DATE(2024,1,1),'DATA INPUT'!$A$3:$A$3000,"&lt;"&amp;DATE(2024,1,31),'DATA INPUT'!$F$3:$F$3000,"&lt;&gt;*Exclude*")=0,#N/A,(SUMIFS('DATA INPUT'!$E$3:$E$3000,'DATA INPUT'!$B$3:$B$3000,'Report Tables'!AA$1,'DATA INPUT'!$A$3:$A$3000,"&gt;="&amp;DATE(2024,1,1),'DATA INPUT'!$A$3:$A$3000,"&lt;"&amp;DATE(2024,1,31),'DATA INPUT'!$F$3:$F$3000,"&lt;&gt;*Exclude*"))))</f>
        <v>#N/A</v>
      </c>
      <c r="AB87" s="136" t="e">
        <f>IF($L$2="Yes",IF(SUMIFS('DATA INPUT'!$E$3:$E$3000,'DATA INPUT'!$B$3:$B$3000,'Report Tables'!AB$1,'DATA INPUT'!$A$3:$A$3000,"&gt;="&amp;DATE(2024,1,1),'DATA INPUT'!$A$3:$A$3000,"&lt;"&amp;DATE(2024,1,31))=0,#N/A,(SUMIFS('DATA INPUT'!$E$3:$E$3000,'DATA INPUT'!$B$3:$B$3000,'Report Tables'!AB$1,'DATA INPUT'!$A$3:$A$3000,"&gt;="&amp;DATE(2024,1,1),'DATA INPUT'!$A$3:$A$3000,"&lt;"&amp;DATE(2024,1,31)))),IF(SUMIFS('DATA INPUT'!$E$3:$E$3000,'DATA INPUT'!$B$3:$B$3000,'Report Tables'!AB$1,'DATA INPUT'!$A$3:$A$3000,"&gt;="&amp;DATE(2024,1,1),'DATA INPUT'!$A$3:$A$3000,"&lt;"&amp;DATE(2024,1,31),'DATA INPUT'!$F$3:$F$3000,"&lt;&gt;*Exclude*")=0,#N/A,(SUMIFS('DATA INPUT'!$E$3:$E$3000,'DATA INPUT'!$B$3:$B$3000,'Report Tables'!AB$1,'DATA INPUT'!$A$3:$A$3000,"&gt;="&amp;DATE(2024,1,1),'DATA INPUT'!$A$3:$A$3000,"&lt;"&amp;DATE(2024,1,31),'DATA INPUT'!$F$3:$F$3000,"&lt;&gt;*Exclude*"))))</f>
        <v>#N/A</v>
      </c>
      <c r="AC87" s="136" t="e">
        <f>IF($L$2="Yes",IF(SUMIFS('DATA INPUT'!$E$3:$E$3000,'DATA INPUT'!$B$3:$B$3000,'Report Tables'!AC$1,'DATA INPUT'!$A$3:$A$3000,"&gt;="&amp;DATE(2024,1,1),'DATA INPUT'!$A$3:$A$3000,"&lt;"&amp;DATE(2024,1,31))=0,#N/A,(SUMIFS('DATA INPUT'!$E$3:$E$3000,'DATA INPUT'!$B$3:$B$3000,'Report Tables'!AC$1,'DATA INPUT'!$A$3:$A$3000,"&gt;="&amp;DATE(2024,1,1),'DATA INPUT'!$A$3:$A$3000,"&lt;"&amp;DATE(2024,1,31)))),IF(SUMIFS('DATA INPUT'!$E$3:$E$3000,'DATA INPUT'!$B$3:$B$3000,'Report Tables'!AC$1,'DATA INPUT'!$A$3:$A$3000,"&gt;="&amp;DATE(2024,1,1),'DATA INPUT'!$A$3:$A$3000,"&lt;"&amp;DATE(2024,1,31),'DATA INPUT'!$F$3:$F$3000,"&lt;&gt;*Exclude*")=0,#N/A,(SUMIFS('DATA INPUT'!$E$3:$E$3000,'DATA INPUT'!$B$3:$B$3000,'Report Tables'!AC$1,'DATA INPUT'!$A$3:$A$3000,"&gt;="&amp;DATE(2024,1,1),'DATA INPUT'!$A$3:$A$3000,"&lt;"&amp;DATE(2024,1,31),'DATA INPUT'!$F$3:$F$3000,"&lt;&gt;*Exclude*"))))</f>
        <v>#N/A</v>
      </c>
      <c r="AD87" s="136" t="e">
        <f>IF($L$2="Yes",IF(SUMIFS('DATA INPUT'!$E$3:$E$3000,'DATA INPUT'!$B$3:$B$3000,'Report Tables'!AD$1,'DATA INPUT'!$A$3:$A$3000,"&gt;="&amp;DATE(2024,1,1),'DATA INPUT'!$A$3:$A$3000,"&lt;"&amp;DATE(2024,1,31))=0,#N/A,(SUMIFS('DATA INPUT'!$E$3:$E$3000,'DATA INPUT'!$B$3:$B$3000,'Report Tables'!AD$1,'DATA INPUT'!$A$3:$A$3000,"&gt;="&amp;DATE(2024,1,1),'DATA INPUT'!$A$3:$A$3000,"&lt;"&amp;DATE(2024,1,31)))),IF(SUMIFS('DATA INPUT'!$E$3:$E$3000,'DATA INPUT'!$B$3:$B$3000,'Report Tables'!AD$1,'DATA INPUT'!$A$3:$A$3000,"&gt;="&amp;DATE(2024,1,1),'DATA INPUT'!$A$3:$A$3000,"&lt;"&amp;DATE(2024,1,31),'DATA INPUT'!$F$3:$F$3000,"&lt;&gt;*Exclude*")=0,#N/A,(SUMIFS('DATA INPUT'!$E$3:$E$3000,'DATA INPUT'!$B$3:$B$3000,'Report Tables'!AD$1,'DATA INPUT'!$A$3:$A$3000,"&gt;="&amp;DATE(2024,1,1),'DATA INPUT'!$A$3:$A$3000,"&lt;"&amp;DATE(2024,1,31),'DATA INPUT'!$F$3:$F$3000,"&lt;&gt;*Exclude*"))))</f>
        <v>#N/A</v>
      </c>
      <c r="AE87" s="136" t="e">
        <f>IF($L$2="Yes",IF(SUMIFS('DATA INPUT'!$E$3:$E$3000,'DATA INPUT'!$B$3:$B$3000,'Report Tables'!AE$1,'DATA INPUT'!$A$3:$A$3000,"&gt;="&amp;DATE(2024,1,1),'DATA INPUT'!$A$3:$A$3000,"&lt;"&amp;DATE(2024,1,31))=0,#N/A,(SUMIFS('DATA INPUT'!$E$3:$E$3000,'DATA INPUT'!$B$3:$B$3000,'Report Tables'!AE$1,'DATA INPUT'!$A$3:$A$3000,"&gt;="&amp;DATE(2024,1,1),'DATA INPUT'!$A$3:$A$3000,"&lt;"&amp;DATE(2024,1,31)))),IF(SUMIFS('DATA INPUT'!$E$3:$E$3000,'DATA INPUT'!$B$3:$B$3000,'Report Tables'!AE$1,'DATA INPUT'!$A$3:$A$3000,"&gt;="&amp;DATE(2024,1,1),'DATA INPUT'!$A$3:$A$3000,"&lt;"&amp;DATE(2024,1,31),'DATA INPUT'!$F$3:$F$3000,"&lt;&gt;*Exclude*")=0,#N/A,(SUMIFS('DATA INPUT'!$E$3:$E$3000,'DATA INPUT'!$B$3:$B$3000,'Report Tables'!AE$1,'DATA INPUT'!$A$3:$A$3000,"&gt;="&amp;DATE(2024,1,1),'DATA INPUT'!$A$3:$A$3000,"&lt;"&amp;DATE(2024,1,31),'DATA INPUT'!$F$3:$F$3000,"&lt;&gt;*Exclude*"))))</f>
        <v>#N/A</v>
      </c>
      <c r="AF87" s="136" t="e">
        <f>IF($L$2="Yes",IF(SUMIFS('DATA INPUT'!$E$3:$E$3000,'DATA INPUT'!$B$3:$B$3000,'Report Tables'!AF$1,'DATA INPUT'!$A$3:$A$3000,"&gt;="&amp;DATE(2024,1,1),'DATA INPUT'!$A$3:$A$3000,"&lt;"&amp;DATE(2024,1,31))=0,#N/A,(SUMIFS('DATA INPUT'!$E$3:$E$3000,'DATA INPUT'!$B$3:$B$3000,'Report Tables'!AF$1,'DATA INPUT'!$A$3:$A$3000,"&gt;="&amp;DATE(2024,1,1),'DATA INPUT'!$A$3:$A$3000,"&lt;"&amp;DATE(2024,1,31)))),IF(SUMIFS('DATA INPUT'!$E$3:$E$3000,'DATA INPUT'!$B$3:$B$3000,'Report Tables'!AF$1,'DATA INPUT'!$A$3:$A$3000,"&gt;="&amp;DATE(2024,1,1),'DATA INPUT'!$A$3:$A$3000,"&lt;"&amp;DATE(2024,1,31),'DATA INPUT'!$F$3:$F$3000,"&lt;&gt;*Exclude*")=0,#N/A,(SUMIFS('DATA INPUT'!$E$3:$E$3000,'DATA INPUT'!$B$3:$B$3000,'Report Tables'!AF$1,'DATA INPUT'!$A$3:$A$3000,"&gt;="&amp;DATE(2024,1,1),'DATA INPUT'!$A$3:$A$3000,"&lt;"&amp;DATE(2024,1,31),'DATA INPUT'!$F$3:$F$3000,"&lt;&gt;*Exclude*"))))</f>
        <v>#N/A</v>
      </c>
      <c r="AG87" s="136" t="e">
        <f>IF($L$2="Yes",IF(SUMIFS('DATA INPUT'!$E$3:$E$3000,'DATA INPUT'!$B$3:$B$3000,'Report Tables'!AG$1,'DATA INPUT'!$A$3:$A$3000,"&gt;="&amp;DATE(2024,1,1),'DATA INPUT'!$A$3:$A$3000,"&lt;"&amp;DATE(2024,1,31))=0,#N/A,(SUMIFS('DATA INPUT'!$E$3:$E$3000,'DATA INPUT'!$B$3:$B$3000,'Report Tables'!AG$1,'DATA INPUT'!$A$3:$A$3000,"&gt;="&amp;DATE(2024,1,1),'DATA INPUT'!$A$3:$A$3000,"&lt;"&amp;DATE(2024,1,31)))),IF(SUMIFS('DATA INPUT'!$E$3:$E$3000,'DATA INPUT'!$B$3:$B$3000,'Report Tables'!AG$1,'DATA INPUT'!$A$3:$A$3000,"&gt;="&amp;DATE(2024,1,1),'DATA INPUT'!$A$3:$A$3000,"&lt;"&amp;DATE(2024,1,31),'DATA INPUT'!$F$3:$F$3000,"&lt;&gt;*Exclude*")=0,#N/A,(SUMIFS('DATA INPUT'!$E$3:$E$3000,'DATA INPUT'!$B$3:$B$3000,'Report Tables'!AG$1,'DATA INPUT'!$A$3:$A$3000,"&gt;="&amp;DATE(2024,1,1),'DATA INPUT'!$A$3:$A$3000,"&lt;"&amp;DATE(2024,1,31),'DATA INPUT'!$F$3:$F$3000,"&lt;&gt;*Exclude*"))))</f>
        <v>#N/A</v>
      </c>
      <c r="AH87" s="136" t="e">
        <f>IF($L$2="Yes",IF(SUMIFS('DATA INPUT'!$E$3:$E$3000,'DATA INPUT'!$B$3:$B$3000,'Report Tables'!AH$1,'DATA INPUT'!$A$3:$A$3000,"&gt;="&amp;DATE(2024,1,1),'DATA INPUT'!$A$3:$A$3000,"&lt;"&amp;DATE(2024,1,31))=0,#N/A,(SUMIFS('DATA INPUT'!$E$3:$E$3000,'DATA INPUT'!$B$3:$B$3000,'Report Tables'!AH$1,'DATA INPUT'!$A$3:$A$3000,"&gt;="&amp;DATE(2024,1,1),'DATA INPUT'!$A$3:$A$3000,"&lt;"&amp;DATE(2024,1,31)))),IF(SUMIFS('DATA INPUT'!$E$3:$E$3000,'DATA INPUT'!$B$3:$B$3000,'Report Tables'!AH$1,'DATA INPUT'!$A$3:$A$3000,"&gt;="&amp;DATE(2024,1,1),'DATA INPUT'!$A$3:$A$3000,"&lt;"&amp;DATE(2024,1,31),'DATA INPUT'!$F$3:$F$3000,"&lt;&gt;*Exclude*")=0,#N/A,(SUMIFS('DATA INPUT'!$E$3:$E$3000,'DATA INPUT'!$B$3:$B$3000,'Report Tables'!AH$1,'DATA INPUT'!$A$3:$A$3000,"&gt;="&amp;DATE(2024,1,1),'DATA INPUT'!$A$3:$A$3000,"&lt;"&amp;DATE(2024,1,31),'DATA INPUT'!$F$3:$F$3000,"&lt;&gt;*Exclude*"))))</f>
        <v>#N/A</v>
      </c>
      <c r="AI87" s="136" t="e">
        <f t="shared" si="23"/>
        <v>#N/A</v>
      </c>
      <c r="AJ87" s="136" t="e">
        <f>IF($L$2="Yes",IF(SUMIFS('DATA INPUT'!$D$3:$D$3000,'DATA INPUT'!$A$3:$A$3000,"&gt;="&amp;DATE(2024,1,1),'DATA INPUT'!$A$3:$A$3000,"&lt;"&amp;DATE(2024,1,31),'DATA INPUT'!$G$3:$G$3000,"&lt;&gt;*School service*")=0,#N/A,(SUMIFS('DATA INPUT'!$D$3:$D$3000,'DATA INPUT'!$A$3:$A$3000,"&gt;="&amp;DATE(2024,1,1),'DATA INPUT'!$A$3:$A$3000,"&lt;"&amp;DATE(2024,1,31),'DATA INPUT'!$G$3:$G$3000,"&lt;&gt;*School service*"))),IF(SUMIFS('DATA INPUT'!$D$3:$D$3000,'DATA INPUT'!$A$3:$A$3000,"&gt;="&amp;DATE(2024,1,1),'DATA INPUT'!$A$3:$A$3000,"&lt;"&amp;DATE(2024,1,31),'DATA INPUT'!$F$3:$F$3000,"&lt;&gt;*Exclude*",'DATA INPUT'!$G$3:$G$3000,"&lt;&gt;*School service*")=0,#N/A,(SUMIFS('DATA INPUT'!$D$3:$D$3000,'DATA INPUT'!$A$3:$A$3000,"&gt;="&amp;DATE(2024,1,1),'DATA INPUT'!$A$3:$A$3000,"&lt;"&amp;DATE(2024,1,31),'DATA INPUT'!$F$3:$F$3000,"&lt;&gt;*Exclude*",'DATA INPUT'!$G$3:$G$3000,"&lt;&gt;*School service*"))))</f>
        <v>#N/A</v>
      </c>
      <c r="AK87" s="136" t="e">
        <f>AI87-AJ87</f>
        <v>#N/A</v>
      </c>
      <c r="AM87" s="117" t="e">
        <f>IF($L$2="Yes",IFERROR((SUMIFS('DATA INPUT'!$E$3:$E$3000,'DATA INPUT'!$B$3:$B$3000,'Report Tables'!AM$1,'DATA INPUT'!$A$3:$A$3000,"&gt;="&amp;DATE(2024,1,1),'DATA INPUT'!$A$3:$A$3000,"&lt;"&amp;DATE(2024,1,31)))/COUNTIFS('DATA INPUT'!$B$3:$B$3000,'Report Tables'!AM$1,'DATA INPUT'!$A$3:$A$3000,"&gt;="&amp;DATE(2024,1,1),'DATA INPUT'!$A$3:$A$3000,"&lt;"&amp;DATE(2024,1,31)),#N/A),IFERROR((SUMIFS('DATA INPUT'!$E$3:$E$3000,'DATA INPUT'!$B$3:$B$3000,'Report Tables'!AM$1,'DATA INPUT'!$A$3:$A$3000,"&gt;="&amp;DATE(2024,1,1),'DATA INPUT'!$A$3:$A$3000,"&lt;"&amp;DATE(2024,1,31),'DATA INPUT'!$F$3:$F$3000,"&lt;&gt;*Exclude*"))/(COUNTIFS('DATA INPUT'!$B$3:$B$3000,'Report Tables'!AM$1,'DATA INPUT'!$A$3:$A$3000,"&gt;="&amp;DATE(2024,1,1),'DATA INPUT'!$A$3:$A$3000,"&lt;"&amp;DATE(2024,1,31),'DATA INPUT'!$F$3:$F$3000,"&lt;&gt;*Exclude*")),#N/A))</f>
        <v>#N/A</v>
      </c>
      <c r="AN87" s="117" t="e">
        <f>IF($L$2="Yes",IFERROR((SUMIFS('DATA INPUT'!$E$3:$E$3000,'DATA INPUT'!$B$3:$B$3000,'Report Tables'!AN$1,'DATA INPUT'!$A$3:$A$3000,"&gt;="&amp;DATE(2024,1,1),'DATA INPUT'!$A$3:$A$3000,"&lt;"&amp;DATE(2024,1,31)))/COUNTIFS('DATA INPUT'!$B$3:$B$3000,'Report Tables'!AN$1,'DATA INPUT'!$A$3:$A$3000,"&gt;="&amp;DATE(2024,1,1),'DATA INPUT'!$A$3:$A$3000,"&lt;"&amp;DATE(2024,1,31)),#N/A),IFERROR((SUMIFS('DATA INPUT'!$E$3:$E$3000,'DATA INPUT'!$B$3:$B$3000,'Report Tables'!AN$1,'DATA INPUT'!$A$3:$A$3000,"&gt;="&amp;DATE(2024,1,1),'DATA INPUT'!$A$3:$A$3000,"&lt;"&amp;DATE(2024,1,31),'DATA INPUT'!$F$3:$F$3000,"&lt;&gt;*Exclude*"))/(COUNTIFS('DATA INPUT'!$B$3:$B$3000,'Report Tables'!AN$1,'DATA INPUT'!$A$3:$A$3000,"&gt;="&amp;DATE(2024,1,1),'DATA INPUT'!$A$3:$A$3000,"&lt;"&amp;DATE(2024,1,31),'DATA INPUT'!$F$3:$F$3000,"&lt;&gt;*Exclude*")),#N/A))</f>
        <v>#N/A</v>
      </c>
      <c r="AO87" s="117" t="e">
        <f>IF($L$2="Yes",IFERROR((SUMIFS('DATA INPUT'!$E$3:$E$3000,'DATA INPUT'!$B$3:$B$3000,'Report Tables'!AO$1,'DATA INPUT'!$A$3:$A$3000,"&gt;="&amp;DATE(2024,1,1),'DATA INPUT'!$A$3:$A$3000,"&lt;"&amp;DATE(2024,1,31)))/COUNTIFS('DATA INPUT'!$B$3:$B$3000,'Report Tables'!AO$1,'DATA INPUT'!$A$3:$A$3000,"&gt;="&amp;DATE(2024,1,1),'DATA INPUT'!$A$3:$A$3000,"&lt;"&amp;DATE(2024,1,31)),#N/A),IFERROR((SUMIFS('DATA INPUT'!$E$3:$E$3000,'DATA INPUT'!$B$3:$B$3000,'Report Tables'!AO$1,'DATA INPUT'!$A$3:$A$3000,"&gt;="&amp;DATE(2024,1,1),'DATA INPUT'!$A$3:$A$3000,"&lt;"&amp;DATE(2024,1,31),'DATA INPUT'!$F$3:$F$3000,"&lt;&gt;*Exclude*"))/(COUNTIFS('DATA INPUT'!$B$3:$B$3000,'Report Tables'!AO$1,'DATA INPUT'!$A$3:$A$3000,"&gt;="&amp;DATE(2024,1,1),'DATA INPUT'!$A$3:$A$3000,"&lt;"&amp;DATE(2024,1,31),'DATA INPUT'!$F$3:$F$3000,"&lt;&gt;*Exclude*")),#N/A))</f>
        <v>#N/A</v>
      </c>
      <c r="AP87" s="117" t="e">
        <f>IF($L$2="Yes",IFERROR((SUMIFS('DATA INPUT'!$E$3:$E$3000,'DATA INPUT'!$B$3:$B$3000,'Report Tables'!AP$1,'DATA INPUT'!$A$3:$A$3000,"&gt;="&amp;DATE(2024,1,1),'DATA INPUT'!$A$3:$A$3000,"&lt;"&amp;DATE(2024,1,31)))/COUNTIFS('DATA INPUT'!$B$3:$B$3000,'Report Tables'!AP$1,'DATA INPUT'!$A$3:$A$3000,"&gt;="&amp;DATE(2024,1,1),'DATA INPUT'!$A$3:$A$3000,"&lt;"&amp;DATE(2024,1,31)),#N/A),IFERROR((SUMIFS('DATA INPUT'!$E$3:$E$3000,'DATA INPUT'!$B$3:$B$3000,'Report Tables'!AP$1,'DATA INPUT'!$A$3:$A$3000,"&gt;="&amp;DATE(2024,1,1),'DATA INPUT'!$A$3:$A$3000,"&lt;"&amp;DATE(2024,1,31),'DATA INPUT'!$F$3:$F$3000,"&lt;&gt;*Exclude*"))/(COUNTIFS('DATA INPUT'!$B$3:$B$3000,'Report Tables'!AP$1,'DATA INPUT'!$A$3:$A$3000,"&gt;="&amp;DATE(2024,1,1),'DATA INPUT'!$A$3:$A$3000,"&lt;"&amp;DATE(2024,1,31),'DATA INPUT'!$F$3:$F$3000,"&lt;&gt;*Exclude*")),#N/A))</f>
        <v>#N/A</v>
      </c>
      <c r="AQ87" s="117" t="e">
        <f>IF($L$2="Yes",IFERROR((SUMIFS('DATA INPUT'!$E$3:$E$3000,'DATA INPUT'!$B$3:$B$3000,'Report Tables'!AQ$1,'DATA INPUT'!$A$3:$A$3000,"&gt;="&amp;DATE(2024,1,1),'DATA INPUT'!$A$3:$A$3000,"&lt;"&amp;DATE(2024,1,31)))/COUNTIFS('DATA INPUT'!$B$3:$B$3000,'Report Tables'!AQ$1,'DATA INPUT'!$A$3:$A$3000,"&gt;="&amp;DATE(2024,1,1),'DATA INPUT'!$A$3:$A$3000,"&lt;"&amp;DATE(2024,1,31)),#N/A),IFERROR((SUMIFS('DATA INPUT'!$E$3:$E$3000,'DATA INPUT'!$B$3:$B$3000,'Report Tables'!AQ$1,'DATA INPUT'!$A$3:$A$3000,"&gt;="&amp;DATE(2024,1,1),'DATA INPUT'!$A$3:$A$3000,"&lt;"&amp;DATE(2024,1,31),'DATA INPUT'!$F$3:$F$3000,"&lt;&gt;*Exclude*"))/(COUNTIFS('DATA INPUT'!$B$3:$B$3000,'Report Tables'!AQ$1,'DATA INPUT'!$A$3:$A$3000,"&gt;="&amp;DATE(2024,1,1),'DATA INPUT'!$A$3:$A$3000,"&lt;"&amp;DATE(2024,1,31),'DATA INPUT'!$F$3:$F$3000,"&lt;&gt;*Exclude*")),#N/A))</f>
        <v>#N/A</v>
      </c>
      <c r="AR87" s="117" t="e">
        <f>IF($L$2="Yes",IFERROR((SUMIFS('DATA INPUT'!$E$3:$E$3000,'DATA INPUT'!$B$3:$B$3000,'Report Tables'!AR$1,'DATA INPUT'!$A$3:$A$3000,"&gt;="&amp;DATE(2024,1,1),'DATA INPUT'!$A$3:$A$3000,"&lt;"&amp;DATE(2024,1,31)))/COUNTIFS('DATA INPUT'!$B$3:$B$3000,'Report Tables'!AR$1,'DATA INPUT'!$A$3:$A$3000,"&gt;="&amp;DATE(2024,1,1),'DATA INPUT'!$A$3:$A$3000,"&lt;"&amp;DATE(2024,1,31)),#N/A),IFERROR((SUMIFS('DATA INPUT'!$E$3:$E$3000,'DATA INPUT'!$B$3:$B$3000,'Report Tables'!AR$1,'DATA INPUT'!$A$3:$A$3000,"&gt;="&amp;DATE(2024,1,1),'DATA INPUT'!$A$3:$A$3000,"&lt;"&amp;DATE(2024,1,31),'DATA INPUT'!$F$3:$F$3000,"&lt;&gt;*Exclude*"))/(COUNTIFS('DATA INPUT'!$B$3:$B$3000,'Report Tables'!AR$1,'DATA INPUT'!$A$3:$A$3000,"&gt;="&amp;DATE(2024,1,1),'DATA INPUT'!$A$3:$A$3000,"&lt;"&amp;DATE(2024,1,31),'DATA INPUT'!$F$3:$F$3000,"&lt;&gt;*Exclude*")),#N/A))</f>
        <v>#N/A</v>
      </c>
      <c r="AS87" s="117" t="e">
        <f>IF($L$2="Yes",IFERROR((SUMIFS('DATA INPUT'!$E$3:$E$3000,'DATA INPUT'!$B$3:$B$3000,'Report Tables'!AS$1,'DATA INPUT'!$A$3:$A$3000,"&gt;="&amp;DATE(2024,1,1),'DATA INPUT'!$A$3:$A$3000,"&lt;"&amp;DATE(2024,1,31)))/COUNTIFS('DATA INPUT'!$B$3:$B$3000,'Report Tables'!AS$1,'DATA INPUT'!$A$3:$A$3000,"&gt;="&amp;DATE(2024,1,1),'DATA INPUT'!$A$3:$A$3000,"&lt;"&amp;DATE(2024,1,31)),#N/A),IFERROR((SUMIFS('DATA INPUT'!$E$3:$E$3000,'DATA INPUT'!$B$3:$B$3000,'Report Tables'!AS$1,'DATA INPUT'!$A$3:$A$3000,"&gt;="&amp;DATE(2024,1,1),'DATA INPUT'!$A$3:$A$3000,"&lt;"&amp;DATE(2024,1,31),'DATA INPUT'!$F$3:$F$3000,"&lt;&gt;*Exclude*"))/(COUNTIFS('DATA INPUT'!$B$3:$B$3000,'Report Tables'!AS$1,'DATA INPUT'!$A$3:$A$3000,"&gt;="&amp;DATE(2024,1,1),'DATA INPUT'!$A$3:$A$3000,"&lt;"&amp;DATE(2024,1,31),'DATA INPUT'!$F$3:$F$3000,"&lt;&gt;*Exclude*")),#N/A))</f>
        <v>#N/A</v>
      </c>
      <c r="AT87" s="117" t="e">
        <f>IF($L$2="Yes",IFERROR((SUMIFS('DATA INPUT'!$E$3:$E$3000,'DATA INPUT'!$B$3:$B$3000,'Report Tables'!AT$1,'DATA INPUT'!$A$3:$A$3000,"&gt;="&amp;DATE(2024,1,1),'DATA INPUT'!$A$3:$A$3000,"&lt;"&amp;DATE(2024,1,31)))/COUNTIFS('DATA INPUT'!$B$3:$B$3000,'Report Tables'!AT$1,'DATA INPUT'!$A$3:$A$3000,"&gt;="&amp;DATE(2024,1,1),'DATA INPUT'!$A$3:$A$3000,"&lt;"&amp;DATE(2024,1,31)),#N/A),IFERROR((SUMIFS('DATA INPUT'!$E$3:$E$3000,'DATA INPUT'!$B$3:$B$3000,'Report Tables'!AT$1,'DATA INPUT'!$A$3:$A$3000,"&gt;="&amp;DATE(2024,1,1),'DATA INPUT'!$A$3:$A$3000,"&lt;"&amp;DATE(2024,1,31),'DATA INPUT'!$F$3:$F$3000,"&lt;&gt;*Exclude*"))/(COUNTIFS('DATA INPUT'!$B$3:$B$3000,'Report Tables'!AT$1,'DATA INPUT'!$A$3:$A$3000,"&gt;="&amp;DATE(2024,1,1),'DATA INPUT'!$A$3:$A$3000,"&lt;"&amp;DATE(2024,1,31),'DATA INPUT'!$F$3:$F$3000,"&lt;&gt;*Exclude*")),#N/A))</f>
        <v>#N/A</v>
      </c>
      <c r="AU87" s="117" t="e">
        <f t="shared" si="24"/>
        <v>#N/A</v>
      </c>
      <c r="AV87" s="117" t="e">
        <f>IF($L$2="Yes",IFERROR((SUMIFS('DATA INPUT'!$D$3:$D$3000,'DATA INPUT'!$A$3:$A$3000,"&gt;="&amp;DATE(2024,1,1),'DATA INPUT'!$A$3:$A$3000,"&lt;"&amp;DATE(2024,1,31),'DATA INPUT'!$G$3:$G$3000,"&lt;&gt;*School service*"))/COUNTIFS('DATA INPUT'!$A$3:$A$3000,"&gt;="&amp;DATE(2024,1,1),'DATA INPUT'!$A$3:$A$3000,"&lt;"&amp;DATE(2024,1,31),'DATA INPUT'!$G$3:$G$3000,"&lt;&gt;*School service*",'DATA INPUT'!$D$3:$D$3000,"&lt;&gt;"&amp;""),#N/A),IFERROR((SUMIFS('DATA INPUT'!$D$3:$D$3000,'DATA INPUT'!$A$3:$A$3000,"&gt;="&amp;DATE(2024,1,1),'DATA INPUT'!$A$3:$A$3000,"&lt;"&amp;DATE(2024,1,31),'DATA INPUT'!$F$3:$F$3000,"&lt;&gt;*Exclude*",'DATA INPUT'!$G$3:$G$3000,"&lt;&gt;*School service*"))/(COUNTIFS('DATA INPUT'!$A$3:$A$3000,"&gt;="&amp;DATE(2024,1,1),'DATA INPUT'!$A$3:$A$3000,"&lt;"&amp;DATE(2024,1,31),'DATA INPUT'!$F$3:$F$3000,"&lt;&gt;*Exclude*",'DATA INPUT'!$G$3:$G$3000,"&lt;&gt;*School service*",'DATA INPUT'!$D$3:$D$3000,"&lt;&gt;"&amp;"")),#N/A))</f>
        <v>#N/A</v>
      </c>
      <c r="AW87" s="117" t="e">
        <f t="shared" si="25"/>
        <v>#N/A</v>
      </c>
      <c r="AX87" s="117" t="e">
        <f>IF($L$2="Yes",IFERROR((SUMIFS('DATA INPUT'!$E$3:$E$3000,'DATA INPUT'!$B$3:$B$3000,'Report Tables'!AX$1,'DATA INPUT'!$A$3:$A$3000,"&gt;="&amp;DATE(2024,1,1),'DATA INPUT'!$A$3:$A$3000,"&lt;"&amp;DATE(2024,1,31)))/COUNTIFS('DATA INPUT'!$B$3:$B$3000,'Report Tables'!AX$1,'DATA INPUT'!$A$3:$A$3000,"&gt;="&amp;DATE(2024,1,1),'DATA INPUT'!$A$3:$A$3000,"&lt;"&amp;DATE(2024,1,31)),#N/A),IFERROR((SUMIFS('DATA INPUT'!$E$3:$E$3000,'DATA INPUT'!$B$3:$B$3000,'Report Tables'!AX$1,'DATA INPUT'!$A$3:$A$3000,"&gt;="&amp;DATE(2024,1,1),'DATA INPUT'!$A$3:$A$3000,"&lt;"&amp;DATE(2024,1,31),'DATA INPUT'!$F$3:$F$3000,"&lt;&gt;*Exclude*"))/(COUNTIFS('DATA INPUT'!$B$3:$B$3000,'Report Tables'!AX$1,'DATA INPUT'!$A$3:$A$3000,"&gt;="&amp;DATE(2024,1,1),'DATA INPUT'!$A$3:$A$3000,"&lt;"&amp;DATE(2024,1,31),'DATA INPUT'!$F$3:$F$3000,"&lt;&gt;*Exclude*")),#N/A))</f>
        <v>#N/A</v>
      </c>
      <c r="AY87" s="117" t="e">
        <f>IF($L$2="Yes",IFERROR((SUMIFS('DATA INPUT'!$D$3:$D$3000,'DATA INPUT'!$B$3:$B$3000,'Report Tables'!AX$1,'DATA INPUT'!$A$3:$A$3000,"&gt;="&amp;DATE(2024,1,1),'DATA INPUT'!$A$3:$A$3000,"&lt;"&amp;DATE(2024,1,31)))/COUNTIFS('DATA INPUT'!$B$3:$B$3000,'Report Tables'!AX$1,'DATA INPUT'!$A$3:$A$3000,"&gt;="&amp;DATE(2024,1,1),'DATA INPUT'!$A$3:$A$3000,"&lt;"&amp;DATE(2024,1,31)),#N/A),IFERROR((SUMIFS('DATA INPUT'!$D$3:$D$3000,'DATA INPUT'!$B$3:$B$3000,'Report Tables'!AX$1,'DATA INPUT'!$A$3:$A$3000,"&gt;="&amp;DATE(2024,1,1),'DATA INPUT'!$A$3:$A$3000,"&lt;"&amp;DATE(2024,1,31),'DATA INPUT'!$F$3:$F$3000,"&lt;&gt;*Exclude*"))/(COUNTIFS('DATA INPUT'!$B$3:$B$3000,'Report Tables'!AX$1,'DATA INPUT'!$A$3:$A$3000,"&gt;="&amp;DATE(2024,1,1),'DATA INPUT'!$A$3:$A$3000,"&lt;"&amp;DATE(2024,1,31),'DATA INPUT'!$F$3:$F$3000,"&lt;&gt;*Exclude*")),#N/A))</f>
        <v>#N/A</v>
      </c>
      <c r="AZ87" s="117" t="e">
        <f>IF($L$2="Yes",IFERROR((SUMIFS('DATA INPUT'!$C$3:$C$3000,'DATA INPUT'!$B$3:$B$3000,'Report Tables'!AX$1,'DATA INPUT'!$A$3:$A$3000,"&gt;="&amp;DATE(2024,1,1),'DATA INPUT'!$A$3:$A$3000,"&lt;"&amp;DATE(2024,1,31)))/COUNTIFS('DATA INPUT'!$B$3:$B$3000,'Report Tables'!AX$1,'DATA INPUT'!$A$3:$A$3000,"&gt;="&amp;DATE(2024,1,1),'DATA INPUT'!$A$3:$A$3000,"&lt;"&amp;DATE(2024,1,31)),#N/A),IFERROR((SUMIFS('DATA INPUT'!$C$3:$C$3000,'DATA INPUT'!$B$3:$B$3000,'Report Tables'!AX$1,'DATA INPUT'!$A$3:$A$3000,"&gt;="&amp;DATE(2024,1,1),'DATA INPUT'!$A$3:$A$3000,"&lt;"&amp;DATE(2024,1,31),'DATA INPUT'!$F$3:$F$3000,"&lt;&gt;*Exclude*"))/(COUNTIFS('DATA INPUT'!$B$3:$B$3000,'Report Tables'!AX$1,'DATA INPUT'!$A$3:$A$3000,"&gt;="&amp;DATE(2024,1,1),'DATA INPUT'!$A$3:$A$3000,"&lt;"&amp;DATE(2024,1,31),'DATA INPUT'!$F$3:$F$3000,"&lt;&gt;*Exclude*")),#N/A))</f>
        <v>#N/A</v>
      </c>
    </row>
    <row r="88" spans="25:52" x14ac:dyDescent="0.3">
      <c r="Y88" s="149"/>
      <c r="Z88" s="149" t="s">
        <v>13</v>
      </c>
      <c r="AA88" s="136" t="e">
        <f>IF($L$2="Yes",IF(SUMIFS('DATA INPUT'!$E$3:$E$3000,'DATA INPUT'!$B$3:$B$3000,'Report Tables'!AA$1,'DATA INPUT'!$A$3:$A$3000,"&gt;="&amp;DATE(2024,2,1),'DATA INPUT'!$A$3:$A$3000,"&lt;"&amp;DATE(2024,2,31))=0,#N/A,(SUMIFS('DATA INPUT'!$E$3:$E$3000,'DATA INPUT'!$B$3:$B$3000,'Report Tables'!AA$1,'DATA INPUT'!$A$3:$A$3000,"&gt;="&amp;DATE(2024,2,1),'DATA INPUT'!$A$3:$A$3000,"&lt;"&amp;DATE(2024,2,31)))),IF(SUMIFS('DATA INPUT'!$E$3:$E$3000,'DATA INPUT'!$B$3:$B$3000,'Report Tables'!AA$1,'DATA INPUT'!$A$3:$A$3000,"&gt;="&amp;DATE(2024,2,1),'DATA INPUT'!$A$3:$A$3000,"&lt;"&amp;DATE(2024,2,31),'DATA INPUT'!$F$3:$F$3000,"&lt;&gt;*Exclude*")=0,#N/A,(SUMIFS('DATA INPUT'!$E$3:$E$3000,'DATA INPUT'!$B$3:$B$3000,'Report Tables'!AA$1,'DATA INPUT'!$A$3:$A$3000,"&gt;="&amp;DATE(2024,2,1),'DATA INPUT'!$A$3:$A$3000,"&lt;"&amp;DATE(2024,2,31),'DATA INPUT'!$F$3:$F$3000,"&lt;&gt;*Exclude*"))))</f>
        <v>#N/A</v>
      </c>
      <c r="AB88" s="136" t="e">
        <f>IF($L$2="Yes",IF(SUMIFS('DATA INPUT'!$E$3:$E$3000,'DATA INPUT'!$B$3:$B$3000,'Report Tables'!AB$1,'DATA INPUT'!$A$3:$A$3000,"&gt;="&amp;DATE(2024,2,1),'DATA INPUT'!$A$3:$A$3000,"&lt;"&amp;DATE(2024,2,31))=0,#N/A,(SUMIFS('DATA INPUT'!$E$3:$E$3000,'DATA INPUT'!$B$3:$B$3000,'Report Tables'!AB$1,'DATA INPUT'!$A$3:$A$3000,"&gt;="&amp;DATE(2024,2,1),'DATA INPUT'!$A$3:$A$3000,"&lt;"&amp;DATE(2024,2,31)))),IF(SUMIFS('DATA INPUT'!$E$3:$E$3000,'DATA INPUT'!$B$3:$B$3000,'Report Tables'!AB$1,'DATA INPUT'!$A$3:$A$3000,"&gt;="&amp;DATE(2024,2,1),'DATA INPUT'!$A$3:$A$3000,"&lt;"&amp;DATE(2024,2,31),'DATA INPUT'!$F$3:$F$3000,"&lt;&gt;*Exclude*")=0,#N/A,(SUMIFS('DATA INPUT'!$E$3:$E$3000,'DATA INPUT'!$B$3:$B$3000,'Report Tables'!AB$1,'DATA INPUT'!$A$3:$A$3000,"&gt;="&amp;DATE(2024,2,1),'DATA INPUT'!$A$3:$A$3000,"&lt;"&amp;DATE(2024,2,31),'DATA INPUT'!$F$3:$F$3000,"&lt;&gt;*Exclude*"))))</f>
        <v>#N/A</v>
      </c>
      <c r="AC88" s="136" t="e">
        <f>IF($L$2="Yes",IF(SUMIFS('DATA INPUT'!$E$3:$E$3000,'DATA INPUT'!$B$3:$B$3000,'Report Tables'!AC$1,'DATA INPUT'!$A$3:$A$3000,"&gt;="&amp;DATE(2024,2,1),'DATA INPUT'!$A$3:$A$3000,"&lt;"&amp;DATE(2024,2,31))=0,#N/A,(SUMIFS('DATA INPUT'!$E$3:$E$3000,'DATA INPUT'!$B$3:$B$3000,'Report Tables'!AC$1,'DATA INPUT'!$A$3:$A$3000,"&gt;="&amp;DATE(2024,2,1),'DATA INPUT'!$A$3:$A$3000,"&lt;"&amp;DATE(2024,2,31)))),IF(SUMIFS('DATA INPUT'!$E$3:$E$3000,'DATA INPUT'!$B$3:$B$3000,'Report Tables'!AC$1,'DATA INPUT'!$A$3:$A$3000,"&gt;="&amp;DATE(2024,2,1),'DATA INPUT'!$A$3:$A$3000,"&lt;"&amp;DATE(2024,2,31),'DATA INPUT'!$F$3:$F$3000,"&lt;&gt;*Exclude*")=0,#N/A,(SUMIFS('DATA INPUT'!$E$3:$E$3000,'DATA INPUT'!$B$3:$B$3000,'Report Tables'!AC$1,'DATA INPUT'!$A$3:$A$3000,"&gt;="&amp;DATE(2024,2,1),'DATA INPUT'!$A$3:$A$3000,"&lt;"&amp;DATE(2024,2,31),'DATA INPUT'!$F$3:$F$3000,"&lt;&gt;*Exclude*"))))</f>
        <v>#N/A</v>
      </c>
      <c r="AD88" s="136" t="e">
        <f>IF($L$2="Yes",IF(SUMIFS('DATA INPUT'!$E$3:$E$3000,'DATA INPUT'!$B$3:$B$3000,'Report Tables'!AD$1,'DATA INPUT'!$A$3:$A$3000,"&gt;="&amp;DATE(2024,2,1),'DATA INPUT'!$A$3:$A$3000,"&lt;"&amp;DATE(2024,2,31))=0,#N/A,(SUMIFS('DATA INPUT'!$E$3:$E$3000,'DATA INPUT'!$B$3:$B$3000,'Report Tables'!AD$1,'DATA INPUT'!$A$3:$A$3000,"&gt;="&amp;DATE(2024,2,1),'DATA INPUT'!$A$3:$A$3000,"&lt;"&amp;DATE(2024,2,31)))),IF(SUMIFS('DATA INPUT'!$E$3:$E$3000,'DATA INPUT'!$B$3:$B$3000,'Report Tables'!AD$1,'DATA INPUT'!$A$3:$A$3000,"&gt;="&amp;DATE(2024,2,1),'DATA INPUT'!$A$3:$A$3000,"&lt;"&amp;DATE(2024,2,31),'DATA INPUT'!$F$3:$F$3000,"&lt;&gt;*Exclude*")=0,#N/A,(SUMIFS('DATA INPUT'!$E$3:$E$3000,'DATA INPUT'!$B$3:$B$3000,'Report Tables'!AD$1,'DATA INPUT'!$A$3:$A$3000,"&gt;="&amp;DATE(2024,2,1),'DATA INPUT'!$A$3:$A$3000,"&lt;"&amp;DATE(2024,2,31),'DATA INPUT'!$F$3:$F$3000,"&lt;&gt;*Exclude*"))))</f>
        <v>#N/A</v>
      </c>
      <c r="AE88" s="136" t="e">
        <f>IF($L$2="Yes",IF(SUMIFS('DATA INPUT'!$E$3:$E$3000,'DATA INPUT'!$B$3:$B$3000,'Report Tables'!AE$1,'DATA INPUT'!$A$3:$A$3000,"&gt;="&amp;DATE(2024,2,1),'DATA INPUT'!$A$3:$A$3000,"&lt;"&amp;DATE(2024,2,31))=0,#N/A,(SUMIFS('DATA INPUT'!$E$3:$E$3000,'DATA INPUT'!$B$3:$B$3000,'Report Tables'!AE$1,'DATA INPUT'!$A$3:$A$3000,"&gt;="&amp;DATE(2024,2,1),'DATA INPUT'!$A$3:$A$3000,"&lt;"&amp;DATE(2024,2,31)))),IF(SUMIFS('DATA INPUT'!$E$3:$E$3000,'DATA INPUT'!$B$3:$B$3000,'Report Tables'!AE$1,'DATA INPUT'!$A$3:$A$3000,"&gt;="&amp;DATE(2024,2,1),'DATA INPUT'!$A$3:$A$3000,"&lt;"&amp;DATE(2024,2,31),'DATA INPUT'!$F$3:$F$3000,"&lt;&gt;*Exclude*")=0,#N/A,(SUMIFS('DATA INPUT'!$E$3:$E$3000,'DATA INPUT'!$B$3:$B$3000,'Report Tables'!AE$1,'DATA INPUT'!$A$3:$A$3000,"&gt;="&amp;DATE(2024,2,1),'DATA INPUT'!$A$3:$A$3000,"&lt;"&amp;DATE(2024,2,31),'DATA INPUT'!$F$3:$F$3000,"&lt;&gt;*Exclude*"))))</f>
        <v>#N/A</v>
      </c>
      <c r="AF88" s="136" t="e">
        <f>IF($L$2="Yes",IF(SUMIFS('DATA INPUT'!$E$3:$E$3000,'DATA INPUT'!$B$3:$B$3000,'Report Tables'!AF$1,'DATA INPUT'!$A$3:$A$3000,"&gt;="&amp;DATE(2024,2,1),'DATA INPUT'!$A$3:$A$3000,"&lt;"&amp;DATE(2024,2,31))=0,#N/A,(SUMIFS('DATA INPUT'!$E$3:$E$3000,'DATA INPUT'!$B$3:$B$3000,'Report Tables'!AF$1,'DATA INPUT'!$A$3:$A$3000,"&gt;="&amp;DATE(2024,2,1),'DATA INPUT'!$A$3:$A$3000,"&lt;"&amp;DATE(2024,2,31)))),IF(SUMIFS('DATA INPUT'!$E$3:$E$3000,'DATA INPUT'!$B$3:$B$3000,'Report Tables'!AF$1,'DATA INPUT'!$A$3:$A$3000,"&gt;="&amp;DATE(2024,2,1),'DATA INPUT'!$A$3:$A$3000,"&lt;"&amp;DATE(2024,2,31),'DATA INPUT'!$F$3:$F$3000,"&lt;&gt;*Exclude*")=0,#N/A,(SUMIFS('DATA INPUT'!$E$3:$E$3000,'DATA INPUT'!$B$3:$B$3000,'Report Tables'!AF$1,'DATA INPUT'!$A$3:$A$3000,"&gt;="&amp;DATE(2024,2,1),'DATA INPUT'!$A$3:$A$3000,"&lt;"&amp;DATE(2024,2,31),'DATA INPUT'!$F$3:$F$3000,"&lt;&gt;*Exclude*"))))</f>
        <v>#N/A</v>
      </c>
      <c r="AG88" s="136" t="e">
        <f>IF($L$2="Yes",IF(SUMIFS('DATA INPUT'!$E$3:$E$3000,'DATA INPUT'!$B$3:$B$3000,'Report Tables'!AG$1,'DATA INPUT'!$A$3:$A$3000,"&gt;="&amp;DATE(2024,2,1),'DATA INPUT'!$A$3:$A$3000,"&lt;"&amp;DATE(2024,2,31))=0,#N/A,(SUMIFS('DATA INPUT'!$E$3:$E$3000,'DATA INPUT'!$B$3:$B$3000,'Report Tables'!AG$1,'DATA INPUT'!$A$3:$A$3000,"&gt;="&amp;DATE(2024,2,1),'DATA INPUT'!$A$3:$A$3000,"&lt;"&amp;DATE(2024,2,31)))),IF(SUMIFS('DATA INPUT'!$E$3:$E$3000,'DATA INPUT'!$B$3:$B$3000,'Report Tables'!AG$1,'DATA INPUT'!$A$3:$A$3000,"&gt;="&amp;DATE(2024,2,1),'DATA INPUT'!$A$3:$A$3000,"&lt;"&amp;DATE(2024,2,31),'DATA INPUT'!$F$3:$F$3000,"&lt;&gt;*Exclude*")=0,#N/A,(SUMIFS('DATA INPUT'!$E$3:$E$3000,'DATA INPUT'!$B$3:$B$3000,'Report Tables'!AG$1,'DATA INPUT'!$A$3:$A$3000,"&gt;="&amp;DATE(2024,2,1),'DATA INPUT'!$A$3:$A$3000,"&lt;"&amp;DATE(2024,2,31),'DATA INPUT'!$F$3:$F$3000,"&lt;&gt;*Exclude*"))))</f>
        <v>#N/A</v>
      </c>
      <c r="AH88" s="136" t="e">
        <f>IF($L$2="Yes",IF(SUMIFS('DATA INPUT'!$E$3:$E$3000,'DATA INPUT'!$B$3:$B$3000,'Report Tables'!AH$1,'DATA INPUT'!$A$3:$A$3000,"&gt;="&amp;DATE(2024,2,1),'DATA INPUT'!$A$3:$A$3000,"&lt;"&amp;DATE(2024,2,31))=0,#N/A,(SUMIFS('DATA INPUT'!$E$3:$E$3000,'DATA INPUT'!$B$3:$B$3000,'Report Tables'!AH$1,'DATA INPUT'!$A$3:$A$3000,"&gt;="&amp;DATE(2024,2,1),'DATA INPUT'!$A$3:$A$3000,"&lt;"&amp;DATE(2024,2,31)))),IF(SUMIFS('DATA INPUT'!$E$3:$E$3000,'DATA INPUT'!$B$3:$B$3000,'Report Tables'!AH$1,'DATA INPUT'!$A$3:$A$3000,"&gt;="&amp;DATE(2024,2,1),'DATA INPUT'!$A$3:$A$3000,"&lt;"&amp;DATE(2024,2,31),'DATA INPUT'!$F$3:$F$3000,"&lt;&gt;*Exclude*")=0,#N/A,(SUMIFS('DATA INPUT'!$E$3:$E$3000,'DATA INPUT'!$B$3:$B$3000,'Report Tables'!AH$1,'DATA INPUT'!$A$3:$A$3000,"&gt;="&amp;DATE(2024,2,1),'DATA INPUT'!$A$3:$A$3000,"&lt;"&amp;DATE(2024,2,31),'DATA INPUT'!$F$3:$F$3000,"&lt;&gt;*Exclude*"))))</f>
        <v>#N/A</v>
      </c>
      <c r="AI88" s="136" t="e">
        <f t="shared" si="23"/>
        <v>#N/A</v>
      </c>
      <c r="AJ88" s="136" t="e">
        <f>IF($L$2="Yes",IF(SUMIFS('DATA INPUT'!$D$3:$D$3000,'DATA INPUT'!$A$3:$A$3000,"&gt;="&amp;DATE(2024,2,1),'DATA INPUT'!$A$3:$A$3000,"&lt;"&amp;DATE(2024,2,31),'DATA INPUT'!$G$3:$G$3000,"&lt;&gt;*School service*")=0,#N/A,(SUMIFS('DATA INPUT'!$D$3:$D$3000,'DATA INPUT'!$A$3:$A$3000,"&gt;="&amp;DATE(2024,2,1),'DATA INPUT'!$A$3:$A$3000,"&lt;"&amp;DATE(2024,2,31),'DATA INPUT'!$G$3:$G$3000,"&lt;&gt;*School service*"))),IF(SUMIFS('DATA INPUT'!$D$3:$D$3000,'DATA INPUT'!$A$3:$A$3000,"&gt;="&amp;DATE(2024,2,1),'DATA INPUT'!$A$3:$A$3000,"&lt;"&amp;DATE(2024,2,31),'DATA INPUT'!$F$3:$F$3000,"&lt;&gt;*Exclude*",'DATA INPUT'!$G$3:$G$3000,"&lt;&gt;*School service*")=0,#N/A,(SUMIFS('DATA INPUT'!$D$3:$D$3000,'DATA INPUT'!$A$3:$A$3000,"&gt;="&amp;DATE(2024,2,1),'DATA INPUT'!$A$3:$A$3000,"&lt;"&amp;DATE(2024,2,31),'DATA INPUT'!$F$3:$F$3000,"&lt;&gt;*Exclude*",'DATA INPUT'!$G$3:$G$3000,"&lt;&gt;*School service*"))))</f>
        <v>#N/A</v>
      </c>
      <c r="AK88" s="136" t="e">
        <f>AI88-AJ88</f>
        <v>#N/A</v>
      </c>
      <c r="AM88" s="117" t="e">
        <f>IF($L$2="Yes",IFERROR((SUMIFS('DATA INPUT'!$E$3:$E$3000,'DATA INPUT'!$B$3:$B$3000,'Report Tables'!AM$1,'DATA INPUT'!$A$3:$A$3000,"&gt;="&amp;DATE(2024,2,1),'DATA INPUT'!$A$3:$A$3000,"&lt;"&amp;DATE(2024,2,31)))/COUNTIFS('DATA INPUT'!$B$3:$B$3000,'Report Tables'!AM$1,'DATA INPUT'!$A$3:$A$3000,"&gt;="&amp;DATE(2024,2,1),'DATA INPUT'!$A$3:$A$3000,"&lt;"&amp;DATE(2024,2,31)),#N/A),IFERROR((SUMIFS('DATA INPUT'!$E$3:$E$3000,'DATA INPUT'!$B$3:$B$3000,'Report Tables'!AM$1,'DATA INPUT'!$A$3:$A$3000,"&gt;="&amp;DATE(2024,2,1),'DATA INPUT'!$A$3:$A$3000,"&lt;"&amp;DATE(2024,2,31),'DATA INPUT'!$F$3:$F$3000,"&lt;&gt;*Exclude*"))/(COUNTIFS('DATA INPUT'!$B$3:$B$3000,'Report Tables'!AM$1,'DATA INPUT'!$A$3:$A$3000,"&gt;="&amp;DATE(2024,2,1),'DATA INPUT'!$A$3:$A$3000,"&lt;"&amp;DATE(2024,2,31),'DATA INPUT'!$F$3:$F$3000,"&lt;&gt;*Exclude*")),#N/A))</f>
        <v>#N/A</v>
      </c>
      <c r="AN88" s="117" t="e">
        <f>IF($L$2="Yes",IFERROR((SUMIFS('DATA INPUT'!$E$3:$E$3000,'DATA INPUT'!$B$3:$B$3000,'Report Tables'!AN$1,'DATA INPUT'!$A$3:$A$3000,"&gt;="&amp;DATE(2024,2,1),'DATA INPUT'!$A$3:$A$3000,"&lt;"&amp;DATE(2024,2,31)))/COUNTIFS('DATA INPUT'!$B$3:$B$3000,'Report Tables'!AN$1,'DATA INPUT'!$A$3:$A$3000,"&gt;="&amp;DATE(2024,2,1),'DATA INPUT'!$A$3:$A$3000,"&lt;"&amp;DATE(2024,2,31)),#N/A),IFERROR((SUMIFS('DATA INPUT'!$E$3:$E$3000,'DATA INPUT'!$B$3:$B$3000,'Report Tables'!AN$1,'DATA INPUT'!$A$3:$A$3000,"&gt;="&amp;DATE(2024,2,1),'DATA INPUT'!$A$3:$A$3000,"&lt;"&amp;DATE(2024,2,31),'DATA INPUT'!$F$3:$F$3000,"&lt;&gt;*Exclude*"))/(COUNTIFS('DATA INPUT'!$B$3:$B$3000,'Report Tables'!AN$1,'DATA INPUT'!$A$3:$A$3000,"&gt;="&amp;DATE(2024,2,1),'DATA INPUT'!$A$3:$A$3000,"&lt;"&amp;DATE(2024,2,31),'DATA INPUT'!$F$3:$F$3000,"&lt;&gt;*Exclude*")),#N/A))</f>
        <v>#N/A</v>
      </c>
      <c r="AO88" s="117" t="e">
        <f>IF($L$2="Yes",IFERROR((SUMIFS('DATA INPUT'!$E$3:$E$3000,'DATA INPUT'!$B$3:$B$3000,'Report Tables'!AO$1,'DATA INPUT'!$A$3:$A$3000,"&gt;="&amp;DATE(2024,2,1),'DATA INPUT'!$A$3:$A$3000,"&lt;"&amp;DATE(2024,2,31)))/COUNTIFS('DATA INPUT'!$B$3:$B$3000,'Report Tables'!AO$1,'DATA INPUT'!$A$3:$A$3000,"&gt;="&amp;DATE(2024,2,1),'DATA INPUT'!$A$3:$A$3000,"&lt;"&amp;DATE(2024,2,31)),#N/A),IFERROR((SUMIFS('DATA INPUT'!$E$3:$E$3000,'DATA INPUT'!$B$3:$B$3000,'Report Tables'!AO$1,'DATA INPUT'!$A$3:$A$3000,"&gt;="&amp;DATE(2024,2,1),'DATA INPUT'!$A$3:$A$3000,"&lt;"&amp;DATE(2024,2,31),'DATA INPUT'!$F$3:$F$3000,"&lt;&gt;*Exclude*"))/(COUNTIFS('DATA INPUT'!$B$3:$B$3000,'Report Tables'!AO$1,'DATA INPUT'!$A$3:$A$3000,"&gt;="&amp;DATE(2024,2,1),'DATA INPUT'!$A$3:$A$3000,"&lt;"&amp;DATE(2024,2,31),'DATA INPUT'!$F$3:$F$3000,"&lt;&gt;*Exclude*")),#N/A))</f>
        <v>#N/A</v>
      </c>
      <c r="AP88" s="117" t="e">
        <f>IF($L$2="Yes",IFERROR((SUMIFS('DATA INPUT'!$E$3:$E$3000,'DATA INPUT'!$B$3:$B$3000,'Report Tables'!AP$1,'DATA INPUT'!$A$3:$A$3000,"&gt;="&amp;DATE(2024,2,1),'DATA INPUT'!$A$3:$A$3000,"&lt;"&amp;DATE(2024,2,31)))/COUNTIFS('DATA INPUT'!$B$3:$B$3000,'Report Tables'!AP$1,'DATA INPUT'!$A$3:$A$3000,"&gt;="&amp;DATE(2024,2,1),'DATA INPUT'!$A$3:$A$3000,"&lt;"&amp;DATE(2024,2,31)),#N/A),IFERROR((SUMIFS('DATA INPUT'!$E$3:$E$3000,'DATA INPUT'!$B$3:$B$3000,'Report Tables'!AP$1,'DATA INPUT'!$A$3:$A$3000,"&gt;="&amp;DATE(2024,2,1),'DATA INPUT'!$A$3:$A$3000,"&lt;"&amp;DATE(2024,2,31),'DATA INPUT'!$F$3:$F$3000,"&lt;&gt;*Exclude*"))/(COUNTIFS('DATA INPUT'!$B$3:$B$3000,'Report Tables'!AP$1,'DATA INPUT'!$A$3:$A$3000,"&gt;="&amp;DATE(2024,2,1),'DATA INPUT'!$A$3:$A$3000,"&lt;"&amp;DATE(2024,2,31),'DATA INPUT'!$F$3:$F$3000,"&lt;&gt;*Exclude*")),#N/A))</f>
        <v>#N/A</v>
      </c>
      <c r="AQ88" s="117" t="e">
        <f>IF($L$2="Yes",IFERROR((SUMIFS('DATA INPUT'!$E$3:$E$3000,'DATA INPUT'!$B$3:$B$3000,'Report Tables'!AQ$1,'DATA INPUT'!$A$3:$A$3000,"&gt;="&amp;DATE(2024,2,1),'DATA INPUT'!$A$3:$A$3000,"&lt;"&amp;DATE(2024,2,31)))/COUNTIFS('DATA INPUT'!$B$3:$B$3000,'Report Tables'!AQ$1,'DATA INPUT'!$A$3:$A$3000,"&gt;="&amp;DATE(2024,2,1),'DATA INPUT'!$A$3:$A$3000,"&lt;"&amp;DATE(2024,2,31)),#N/A),IFERROR((SUMIFS('DATA INPUT'!$E$3:$E$3000,'DATA INPUT'!$B$3:$B$3000,'Report Tables'!AQ$1,'DATA INPUT'!$A$3:$A$3000,"&gt;="&amp;DATE(2024,2,1),'DATA INPUT'!$A$3:$A$3000,"&lt;"&amp;DATE(2024,2,31),'DATA INPUT'!$F$3:$F$3000,"&lt;&gt;*Exclude*"))/(COUNTIFS('DATA INPUT'!$B$3:$B$3000,'Report Tables'!AQ$1,'DATA INPUT'!$A$3:$A$3000,"&gt;="&amp;DATE(2024,2,1),'DATA INPUT'!$A$3:$A$3000,"&lt;"&amp;DATE(2024,2,31),'DATA INPUT'!$F$3:$F$3000,"&lt;&gt;*Exclude*")),#N/A))</f>
        <v>#N/A</v>
      </c>
      <c r="AR88" s="117" t="e">
        <f>IF($L$2="Yes",IFERROR((SUMIFS('DATA INPUT'!$E$3:$E$3000,'DATA INPUT'!$B$3:$B$3000,'Report Tables'!AR$1,'DATA INPUT'!$A$3:$A$3000,"&gt;="&amp;DATE(2024,2,1),'DATA INPUT'!$A$3:$A$3000,"&lt;"&amp;DATE(2024,2,31)))/COUNTIFS('DATA INPUT'!$B$3:$B$3000,'Report Tables'!AR$1,'DATA INPUT'!$A$3:$A$3000,"&gt;="&amp;DATE(2024,2,1),'DATA INPUT'!$A$3:$A$3000,"&lt;"&amp;DATE(2024,2,31)),#N/A),IFERROR((SUMIFS('DATA INPUT'!$E$3:$E$3000,'DATA INPUT'!$B$3:$B$3000,'Report Tables'!AR$1,'DATA INPUT'!$A$3:$A$3000,"&gt;="&amp;DATE(2024,2,1),'DATA INPUT'!$A$3:$A$3000,"&lt;"&amp;DATE(2024,2,31),'DATA INPUT'!$F$3:$F$3000,"&lt;&gt;*Exclude*"))/(COUNTIFS('DATA INPUT'!$B$3:$B$3000,'Report Tables'!AR$1,'DATA INPUT'!$A$3:$A$3000,"&gt;="&amp;DATE(2024,2,1),'DATA INPUT'!$A$3:$A$3000,"&lt;"&amp;DATE(2024,2,31),'DATA INPUT'!$F$3:$F$3000,"&lt;&gt;*Exclude*")),#N/A))</f>
        <v>#N/A</v>
      </c>
      <c r="AS88" s="117" t="e">
        <f>IF($L$2="Yes",IFERROR((SUMIFS('DATA INPUT'!$E$3:$E$3000,'DATA INPUT'!$B$3:$B$3000,'Report Tables'!AS$1,'DATA INPUT'!$A$3:$A$3000,"&gt;="&amp;DATE(2024,2,1),'DATA INPUT'!$A$3:$A$3000,"&lt;"&amp;DATE(2024,2,31)))/COUNTIFS('DATA INPUT'!$B$3:$B$3000,'Report Tables'!AS$1,'DATA INPUT'!$A$3:$A$3000,"&gt;="&amp;DATE(2024,2,1),'DATA INPUT'!$A$3:$A$3000,"&lt;"&amp;DATE(2024,2,31)),#N/A),IFERROR((SUMIFS('DATA INPUT'!$E$3:$E$3000,'DATA INPUT'!$B$3:$B$3000,'Report Tables'!AS$1,'DATA INPUT'!$A$3:$A$3000,"&gt;="&amp;DATE(2024,2,1),'DATA INPUT'!$A$3:$A$3000,"&lt;"&amp;DATE(2024,2,31),'DATA INPUT'!$F$3:$F$3000,"&lt;&gt;*Exclude*"))/(COUNTIFS('DATA INPUT'!$B$3:$B$3000,'Report Tables'!AS$1,'DATA INPUT'!$A$3:$A$3000,"&gt;="&amp;DATE(2024,2,1),'DATA INPUT'!$A$3:$A$3000,"&lt;"&amp;DATE(2024,2,31),'DATA INPUT'!$F$3:$F$3000,"&lt;&gt;*Exclude*")),#N/A))</f>
        <v>#N/A</v>
      </c>
      <c r="AT88" s="117" t="e">
        <f>IF($L$2="Yes",IFERROR((SUMIFS('DATA INPUT'!$E$3:$E$3000,'DATA INPUT'!$B$3:$B$3000,'Report Tables'!AT$1,'DATA INPUT'!$A$3:$A$3000,"&gt;="&amp;DATE(2024,2,1),'DATA INPUT'!$A$3:$A$3000,"&lt;"&amp;DATE(2024,2,31)))/COUNTIFS('DATA INPUT'!$B$3:$B$3000,'Report Tables'!AT$1,'DATA INPUT'!$A$3:$A$3000,"&gt;="&amp;DATE(2024,2,1),'DATA INPUT'!$A$3:$A$3000,"&lt;"&amp;DATE(2024,2,31)),#N/A),IFERROR((SUMIFS('DATA INPUT'!$E$3:$E$3000,'DATA INPUT'!$B$3:$B$3000,'Report Tables'!AT$1,'DATA INPUT'!$A$3:$A$3000,"&gt;="&amp;DATE(2024,2,1),'DATA INPUT'!$A$3:$A$3000,"&lt;"&amp;DATE(2024,2,31),'DATA INPUT'!$F$3:$F$3000,"&lt;&gt;*Exclude*"))/(COUNTIFS('DATA INPUT'!$B$3:$B$3000,'Report Tables'!AT$1,'DATA INPUT'!$A$3:$A$3000,"&gt;="&amp;DATE(2024,2,1),'DATA INPUT'!$A$3:$A$3000,"&lt;"&amp;DATE(2024,2,31),'DATA INPUT'!$F$3:$F$3000,"&lt;&gt;*Exclude*")),#N/A))</f>
        <v>#N/A</v>
      </c>
      <c r="AU88" s="117" t="e">
        <f t="shared" si="24"/>
        <v>#N/A</v>
      </c>
      <c r="AV88" s="117" t="e">
        <f>IF($L$2="Yes",IFERROR((SUMIFS('DATA INPUT'!$D$3:$D$3000,'DATA INPUT'!$A$3:$A$3000,"&gt;="&amp;DATE(2024,2,1),'DATA INPUT'!$A$3:$A$3000,"&lt;"&amp;DATE(2024,2,31),'DATA INPUT'!$G$3:$G$3000,"&lt;&gt;*School service*"))/COUNTIFS('DATA INPUT'!$A$3:$A$3000,"&gt;="&amp;DATE(2024,2,1),'DATA INPUT'!$A$3:$A$3000,"&lt;"&amp;DATE(2024,2,31),'DATA INPUT'!$G$3:$G$3000,"&lt;&gt;*School service*",'DATA INPUT'!$D$3:$D$3000,"&lt;&gt;"&amp;""),#N/A),IFERROR((SUMIFS('DATA INPUT'!$D$3:$D$3000,'DATA INPUT'!$A$3:$A$3000,"&gt;="&amp;DATE(2024,2,1),'DATA INPUT'!$A$3:$A$3000,"&lt;"&amp;DATE(2024,2,31),'DATA INPUT'!$F$3:$F$3000,"&lt;&gt;*Exclude*",'DATA INPUT'!$G$3:$G$3000,"&lt;&gt;*School service*"))/(COUNTIFS('DATA INPUT'!$A$3:$A$3000,"&gt;="&amp;DATE(2024,2,1),'DATA INPUT'!$A$3:$A$3000,"&lt;"&amp;DATE(2024,2,31),'DATA INPUT'!$F$3:$F$3000,"&lt;&gt;*Exclude*",'DATA INPUT'!$G$3:$G$3000,"&lt;&gt;*School service*",'DATA INPUT'!$D$3:$D$3000,"&lt;&gt;"&amp;"")),#N/A))</f>
        <v>#N/A</v>
      </c>
      <c r="AW88" s="117" t="e">
        <f t="shared" si="25"/>
        <v>#N/A</v>
      </c>
      <c r="AX88" s="117" t="e">
        <f>IF($L$2="Yes",IFERROR((SUMIFS('DATA INPUT'!$E$3:$E$3000,'DATA INPUT'!$B$3:$B$3000,'Report Tables'!AX$1,'DATA INPUT'!$A$3:$A$3000,"&gt;="&amp;DATE(2024,2,1),'DATA INPUT'!$A$3:$A$3000,"&lt;"&amp;DATE(2024,2,31)))/COUNTIFS('DATA INPUT'!$B$3:$B$3000,'Report Tables'!AX$1,'DATA INPUT'!$A$3:$A$3000,"&gt;="&amp;DATE(2024,2,1),'DATA INPUT'!$A$3:$A$3000,"&lt;"&amp;DATE(2024,2,31)),#N/A),IFERROR((SUMIFS('DATA INPUT'!$E$3:$E$3000,'DATA INPUT'!$B$3:$B$3000,'Report Tables'!AX$1,'DATA INPUT'!$A$3:$A$3000,"&gt;="&amp;DATE(2024,2,1),'DATA INPUT'!$A$3:$A$3000,"&lt;"&amp;DATE(2024,2,31),'DATA INPUT'!$F$3:$F$3000,"&lt;&gt;*Exclude*"))/(COUNTIFS('DATA INPUT'!$B$3:$B$3000,'Report Tables'!AX$1,'DATA INPUT'!$A$3:$A$3000,"&gt;="&amp;DATE(2024,2,1),'DATA INPUT'!$A$3:$A$3000,"&lt;"&amp;DATE(2024,2,31),'DATA INPUT'!$F$3:$F$3000,"&lt;&gt;*Exclude*")),#N/A))</f>
        <v>#N/A</v>
      </c>
      <c r="AY88" s="117" t="e">
        <f>IF($L$2="Yes",IFERROR((SUMIFS('DATA INPUT'!$D$3:$D$3000,'DATA INPUT'!$B$3:$B$3000,'Report Tables'!AX$1,'DATA INPUT'!$A$3:$A$3000,"&gt;="&amp;DATE(2024,2,1),'DATA INPUT'!$A$3:$A$3000,"&lt;"&amp;DATE(2024,2,31)))/COUNTIFS('DATA INPUT'!$B$3:$B$3000,'Report Tables'!AX$1,'DATA INPUT'!$A$3:$A$3000,"&gt;="&amp;DATE(2024,2,1),'DATA INPUT'!$A$3:$A$3000,"&lt;"&amp;DATE(2024,2,31)),#N/A),IFERROR((SUMIFS('DATA INPUT'!$D$3:$D$3000,'DATA INPUT'!$B$3:$B$3000,'Report Tables'!AX$1,'DATA INPUT'!$A$3:$A$3000,"&gt;="&amp;DATE(2024,2,1),'DATA INPUT'!$A$3:$A$3000,"&lt;"&amp;DATE(2024,2,31),'DATA INPUT'!$F$3:$F$3000,"&lt;&gt;*Exclude*"))/(COUNTIFS('DATA INPUT'!$B$3:$B$3000,'Report Tables'!AX$1,'DATA INPUT'!$A$3:$A$3000,"&gt;="&amp;DATE(2024,2,1),'DATA INPUT'!$A$3:$A$3000,"&lt;"&amp;DATE(2024,2,31),'DATA INPUT'!$F$3:$F$3000,"&lt;&gt;*Exclude*")),#N/A))</f>
        <v>#N/A</v>
      </c>
      <c r="AZ88" s="117" t="e">
        <f>IF($L$2="Yes",IFERROR((SUMIFS('DATA INPUT'!$C$3:$C$3000,'DATA INPUT'!$B$3:$B$3000,'Report Tables'!AX$1,'DATA INPUT'!$A$3:$A$3000,"&gt;="&amp;DATE(2024,2,1),'DATA INPUT'!$A$3:$A$3000,"&lt;"&amp;DATE(2024,2,31)))/COUNTIFS('DATA INPUT'!$B$3:$B$3000,'Report Tables'!AX$1,'DATA INPUT'!$A$3:$A$3000,"&gt;="&amp;DATE(2024,2,1),'DATA INPUT'!$A$3:$A$3000,"&lt;"&amp;DATE(2024,2,31)),#N/A),IFERROR((SUMIFS('DATA INPUT'!$C$3:$C$3000,'DATA INPUT'!$B$3:$B$3000,'Report Tables'!AX$1,'DATA INPUT'!$A$3:$A$3000,"&gt;="&amp;DATE(2024,2,1),'DATA INPUT'!$A$3:$A$3000,"&lt;"&amp;DATE(2024,2,31),'DATA INPUT'!$F$3:$F$3000,"&lt;&gt;*Exclude*"))/(COUNTIFS('DATA INPUT'!$B$3:$B$3000,'Report Tables'!AX$1,'DATA INPUT'!$A$3:$A$3000,"&gt;="&amp;DATE(2024,2,1),'DATA INPUT'!$A$3:$A$3000,"&lt;"&amp;DATE(2024,2,31),'DATA INPUT'!$F$3:$F$3000,"&lt;&gt;*Exclude*")),#N/A))</f>
        <v>#N/A</v>
      </c>
    </row>
    <row r="89" spans="25:52" x14ac:dyDescent="0.3">
      <c r="Y89" s="149"/>
      <c r="Z89" s="149" t="s">
        <v>14</v>
      </c>
      <c r="AA89" s="136" t="e">
        <f>IF($L$2="Yes",IF(SUMIFS('DATA INPUT'!$E$3:$E$3000,'DATA INPUT'!$B$3:$B$3000,'Report Tables'!AA$1,'DATA INPUT'!$A$3:$A$3000,"&gt;="&amp;DATE(2024,3,1),'DATA INPUT'!$A$3:$A$3000,"&lt;"&amp;DATE(2024,3,31))=0,#N/A,(SUMIFS('DATA INPUT'!$E$3:$E$3000,'DATA INPUT'!$B$3:$B$3000,'Report Tables'!AA$1,'DATA INPUT'!$A$3:$A$3000,"&gt;="&amp;DATE(2024,3,1),'DATA INPUT'!$A$3:$A$3000,"&lt;"&amp;DATE(2024,3,31)))),IF(SUMIFS('DATA INPUT'!$E$3:$E$3000,'DATA INPUT'!$B$3:$B$3000,'Report Tables'!AA$1,'DATA INPUT'!$A$3:$A$3000,"&gt;="&amp;DATE(2024,3,1),'DATA INPUT'!$A$3:$A$3000,"&lt;"&amp;DATE(2024,3,31),'DATA INPUT'!$F$3:$F$3000,"&lt;&gt;*Exclude*")=0,#N/A,(SUMIFS('DATA INPUT'!$E$3:$E$3000,'DATA INPUT'!$B$3:$B$3000,'Report Tables'!AA$1,'DATA INPUT'!$A$3:$A$3000,"&gt;="&amp;DATE(2024,3,1),'DATA INPUT'!$A$3:$A$3000,"&lt;"&amp;DATE(2024,3,31),'DATA INPUT'!$F$3:$F$3000,"&lt;&gt;*Exclude*"))))</f>
        <v>#N/A</v>
      </c>
      <c r="AB89" s="136" t="e">
        <f>IF($L$2="Yes",IF(SUMIFS('DATA INPUT'!$E$3:$E$3000,'DATA INPUT'!$B$3:$B$3000,'Report Tables'!AB$1,'DATA INPUT'!$A$3:$A$3000,"&gt;="&amp;DATE(2024,3,1),'DATA INPUT'!$A$3:$A$3000,"&lt;"&amp;DATE(2024,3,31))=0,#N/A,(SUMIFS('DATA INPUT'!$E$3:$E$3000,'DATA INPUT'!$B$3:$B$3000,'Report Tables'!AB$1,'DATA INPUT'!$A$3:$A$3000,"&gt;="&amp;DATE(2024,3,1),'DATA INPUT'!$A$3:$A$3000,"&lt;"&amp;DATE(2024,3,31)))),IF(SUMIFS('DATA INPUT'!$E$3:$E$3000,'DATA INPUT'!$B$3:$B$3000,'Report Tables'!AB$1,'DATA INPUT'!$A$3:$A$3000,"&gt;="&amp;DATE(2024,3,1),'DATA INPUT'!$A$3:$A$3000,"&lt;"&amp;DATE(2024,3,31),'DATA INPUT'!$F$3:$F$3000,"&lt;&gt;*Exclude*")=0,#N/A,(SUMIFS('DATA INPUT'!$E$3:$E$3000,'DATA INPUT'!$B$3:$B$3000,'Report Tables'!AB$1,'DATA INPUT'!$A$3:$A$3000,"&gt;="&amp;DATE(2024,3,1),'DATA INPUT'!$A$3:$A$3000,"&lt;"&amp;DATE(2024,3,31),'DATA INPUT'!$F$3:$F$3000,"&lt;&gt;*Exclude*"))))</f>
        <v>#N/A</v>
      </c>
      <c r="AC89" s="136" t="e">
        <f>IF($L$2="Yes",IF(SUMIFS('DATA INPUT'!$E$3:$E$3000,'DATA INPUT'!$B$3:$B$3000,'Report Tables'!AC$1,'DATA INPUT'!$A$3:$A$3000,"&gt;="&amp;DATE(2024,3,1),'DATA INPUT'!$A$3:$A$3000,"&lt;"&amp;DATE(2024,3,31))=0,#N/A,(SUMIFS('DATA INPUT'!$E$3:$E$3000,'DATA INPUT'!$B$3:$B$3000,'Report Tables'!AC$1,'DATA INPUT'!$A$3:$A$3000,"&gt;="&amp;DATE(2024,3,1),'DATA INPUT'!$A$3:$A$3000,"&lt;"&amp;DATE(2024,3,31)))),IF(SUMIFS('DATA INPUT'!$E$3:$E$3000,'DATA INPUT'!$B$3:$B$3000,'Report Tables'!AC$1,'DATA INPUT'!$A$3:$A$3000,"&gt;="&amp;DATE(2024,3,1),'DATA INPUT'!$A$3:$A$3000,"&lt;"&amp;DATE(2024,3,31),'DATA INPUT'!$F$3:$F$3000,"&lt;&gt;*Exclude*")=0,#N/A,(SUMIFS('DATA INPUT'!$E$3:$E$3000,'DATA INPUT'!$B$3:$B$3000,'Report Tables'!AC$1,'DATA INPUT'!$A$3:$A$3000,"&gt;="&amp;DATE(2024,3,1),'DATA INPUT'!$A$3:$A$3000,"&lt;"&amp;DATE(2024,3,31),'DATA INPUT'!$F$3:$F$3000,"&lt;&gt;*Exclude*"))))</f>
        <v>#N/A</v>
      </c>
      <c r="AD89" s="136" t="e">
        <f>IF($L$2="Yes",IF(SUMIFS('DATA INPUT'!$E$3:$E$3000,'DATA INPUT'!$B$3:$B$3000,'Report Tables'!AD$1,'DATA INPUT'!$A$3:$A$3000,"&gt;="&amp;DATE(2024,3,1),'DATA INPUT'!$A$3:$A$3000,"&lt;"&amp;DATE(2024,3,31))=0,#N/A,(SUMIFS('DATA INPUT'!$E$3:$E$3000,'DATA INPUT'!$B$3:$B$3000,'Report Tables'!AD$1,'DATA INPUT'!$A$3:$A$3000,"&gt;="&amp;DATE(2024,3,1),'DATA INPUT'!$A$3:$A$3000,"&lt;"&amp;DATE(2024,3,31)))),IF(SUMIFS('DATA INPUT'!$E$3:$E$3000,'DATA INPUT'!$B$3:$B$3000,'Report Tables'!AD$1,'DATA INPUT'!$A$3:$A$3000,"&gt;="&amp;DATE(2024,3,1),'DATA INPUT'!$A$3:$A$3000,"&lt;"&amp;DATE(2024,3,31),'DATA INPUT'!$F$3:$F$3000,"&lt;&gt;*Exclude*")=0,#N/A,(SUMIFS('DATA INPUT'!$E$3:$E$3000,'DATA INPUT'!$B$3:$B$3000,'Report Tables'!AD$1,'DATA INPUT'!$A$3:$A$3000,"&gt;="&amp;DATE(2024,3,1),'DATA INPUT'!$A$3:$A$3000,"&lt;"&amp;DATE(2024,3,31),'DATA INPUT'!$F$3:$F$3000,"&lt;&gt;*Exclude*"))))</f>
        <v>#N/A</v>
      </c>
      <c r="AE89" s="136" t="e">
        <f>IF($L$2="Yes",IF(SUMIFS('DATA INPUT'!$E$3:$E$3000,'DATA INPUT'!$B$3:$B$3000,'Report Tables'!AE$1,'DATA INPUT'!$A$3:$A$3000,"&gt;="&amp;DATE(2024,3,1),'DATA INPUT'!$A$3:$A$3000,"&lt;"&amp;DATE(2024,3,31))=0,#N/A,(SUMIFS('DATA INPUT'!$E$3:$E$3000,'DATA INPUT'!$B$3:$B$3000,'Report Tables'!AE$1,'DATA INPUT'!$A$3:$A$3000,"&gt;="&amp;DATE(2024,3,1),'DATA INPUT'!$A$3:$A$3000,"&lt;"&amp;DATE(2024,3,31)))),IF(SUMIFS('DATA INPUT'!$E$3:$E$3000,'DATA INPUT'!$B$3:$B$3000,'Report Tables'!AE$1,'DATA INPUT'!$A$3:$A$3000,"&gt;="&amp;DATE(2024,3,1),'DATA INPUT'!$A$3:$A$3000,"&lt;"&amp;DATE(2024,3,31),'DATA INPUT'!$F$3:$F$3000,"&lt;&gt;*Exclude*")=0,#N/A,(SUMIFS('DATA INPUT'!$E$3:$E$3000,'DATA INPUT'!$B$3:$B$3000,'Report Tables'!AE$1,'DATA INPUT'!$A$3:$A$3000,"&gt;="&amp;DATE(2024,3,1),'DATA INPUT'!$A$3:$A$3000,"&lt;"&amp;DATE(2024,3,31),'DATA INPUT'!$F$3:$F$3000,"&lt;&gt;*Exclude*"))))</f>
        <v>#N/A</v>
      </c>
      <c r="AF89" s="136" t="e">
        <f>IF($L$2="Yes",IF(SUMIFS('DATA INPUT'!$E$3:$E$3000,'DATA INPUT'!$B$3:$B$3000,'Report Tables'!AF$1,'DATA INPUT'!$A$3:$A$3000,"&gt;="&amp;DATE(2024,3,1),'DATA INPUT'!$A$3:$A$3000,"&lt;"&amp;DATE(2024,3,31))=0,#N/A,(SUMIFS('DATA INPUT'!$E$3:$E$3000,'DATA INPUT'!$B$3:$B$3000,'Report Tables'!AF$1,'DATA INPUT'!$A$3:$A$3000,"&gt;="&amp;DATE(2024,3,1),'DATA INPUT'!$A$3:$A$3000,"&lt;"&amp;DATE(2024,3,31)))),IF(SUMIFS('DATA INPUT'!$E$3:$E$3000,'DATA INPUT'!$B$3:$B$3000,'Report Tables'!AF$1,'DATA INPUT'!$A$3:$A$3000,"&gt;="&amp;DATE(2024,3,1),'DATA INPUT'!$A$3:$A$3000,"&lt;"&amp;DATE(2024,3,31),'DATA INPUT'!$F$3:$F$3000,"&lt;&gt;*Exclude*")=0,#N/A,(SUMIFS('DATA INPUT'!$E$3:$E$3000,'DATA INPUT'!$B$3:$B$3000,'Report Tables'!AF$1,'DATA INPUT'!$A$3:$A$3000,"&gt;="&amp;DATE(2024,3,1),'DATA INPUT'!$A$3:$A$3000,"&lt;"&amp;DATE(2024,3,31),'DATA INPUT'!$F$3:$F$3000,"&lt;&gt;*Exclude*"))))</f>
        <v>#N/A</v>
      </c>
      <c r="AG89" s="136" t="e">
        <f>IF($L$2="Yes",IF(SUMIFS('DATA INPUT'!$E$3:$E$3000,'DATA INPUT'!$B$3:$B$3000,'Report Tables'!AG$1,'DATA INPUT'!$A$3:$A$3000,"&gt;="&amp;DATE(2024,3,1),'DATA INPUT'!$A$3:$A$3000,"&lt;"&amp;DATE(2024,3,31))=0,#N/A,(SUMIFS('DATA INPUT'!$E$3:$E$3000,'DATA INPUT'!$B$3:$B$3000,'Report Tables'!AG$1,'DATA INPUT'!$A$3:$A$3000,"&gt;="&amp;DATE(2024,3,1),'DATA INPUT'!$A$3:$A$3000,"&lt;"&amp;DATE(2024,3,31)))),IF(SUMIFS('DATA INPUT'!$E$3:$E$3000,'DATA INPUT'!$B$3:$B$3000,'Report Tables'!AG$1,'DATA INPUT'!$A$3:$A$3000,"&gt;="&amp;DATE(2024,3,1),'DATA INPUT'!$A$3:$A$3000,"&lt;"&amp;DATE(2024,3,31),'DATA INPUT'!$F$3:$F$3000,"&lt;&gt;*Exclude*")=0,#N/A,(SUMIFS('DATA INPUT'!$E$3:$E$3000,'DATA INPUT'!$B$3:$B$3000,'Report Tables'!AG$1,'DATA INPUT'!$A$3:$A$3000,"&gt;="&amp;DATE(2024,3,1),'DATA INPUT'!$A$3:$A$3000,"&lt;"&amp;DATE(2024,3,31),'DATA INPUT'!$F$3:$F$3000,"&lt;&gt;*Exclude*"))))</f>
        <v>#N/A</v>
      </c>
      <c r="AH89" s="136" t="e">
        <f>IF($L$2="Yes",IF(SUMIFS('DATA INPUT'!$E$3:$E$3000,'DATA INPUT'!$B$3:$B$3000,'Report Tables'!AH$1,'DATA INPUT'!$A$3:$A$3000,"&gt;="&amp;DATE(2024,3,1),'DATA INPUT'!$A$3:$A$3000,"&lt;"&amp;DATE(2024,3,31))=0,#N/A,(SUMIFS('DATA INPUT'!$E$3:$E$3000,'DATA INPUT'!$B$3:$B$3000,'Report Tables'!AH$1,'DATA INPUT'!$A$3:$A$3000,"&gt;="&amp;DATE(2024,3,1),'DATA INPUT'!$A$3:$A$3000,"&lt;"&amp;DATE(2024,3,31)))),IF(SUMIFS('DATA INPUT'!$E$3:$E$3000,'DATA INPUT'!$B$3:$B$3000,'Report Tables'!AH$1,'DATA INPUT'!$A$3:$A$3000,"&gt;="&amp;DATE(2024,3,1),'DATA INPUT'!$A$3:$A$3000,"&lt;"&amp;DATE(2024,3,31),'DATA INPUT'!$F$3:$F$3000,"&lt;&gt;*Exclude*")=0,#N/A,(SUMIFS('DATA INPUT'!$E$3:$E$3000,'DATA INPUT'!$B$3:$B$3000,'Report Tables'!AH$1,'DATA INPUT'!$A$3:$A$3000,"&gt;="&amp;DATE(2024,3,1),'DATA INPUT'!$A$3:$A$3000,"&lt;"&amp;DATE(2024,3,31),'DATA INPUT'!$F$3:$F$3000,"&lt;&gt;*Exclude*"))))</f>
        <v>#N/A</v>
      </c>
      <c r="AI89" s="136" t="e">
        <f t="shared" si="23"/>
        <v>#N/A</v>
      </c>
      <c r="AJ89" s="136" t="e">
        <f>IF($L$2="Yes",IF(SUMIFS('DATA INPUT'!$D$3:$D$3000,'DATA INPUT'!$A$3:$A$3000,"&gt;="&amp;DATE(2024,3,1),'DATA INPUT'!$A$3:$A$3000,"&lt;"&amp;DATE(2024,3,31),'DATA INPUT'!$G$3:$G$3000,"&lt;&gt;*School service*")=0,#N/A,(SUMIFS('DATA INPUT'!$D$3:$D$3000,'DATA INPUT'!$A$3:$A$3000,"&gt;="&amp;DATE(2024,3,1),'DATA INPUT'!$A$3:$A$3000,"&lt;"&amp;DATE(2024,3,31),'DATA INPUT'!$G$3:$G$3000,"&lt;&gt;*School service*"))),IF(SUMIFS('DATA INPUT'!$D$3:$D$3000,'DATA INPUT'!$A$3:$A$3000,"&gt;="&amp;DATE(2024,3,1),'DATA INPUT'!$A$3:$A$3000,"&lt;"&amp;DATE(2024,3,31),'DATA INPUT'!$F$3:$F$3000,"&lt;&gt;*Exclude*",'DATA INPUT'!$G$3:$G$3000,"&lt;&gt;*School service*")=0,#N/A,(SUMIFS('DATA INPUT'!$D$3:$D$3000,'DATA INPUT'!$A$3:$A$3000,"&gt;="&amp;DATE(2024,3,1),'DATA INPUT'!$A$3:$A$3000,"&lt;"&amp;DATE(2024,3,31),'DATA INPUT'!$F$3:$F$3000,"&lt;&gt;*Exclude*",'DATA INPUT'!$G$3:$G$3000,"&lt;&gt;*School service*"))))</f>
        <v>#N/A</v>
      </c>
      <c r="AK89" s="136" t="e">
        <f>AI89-AJ89</f>
        <v>#N/A</v>
      </c>
      <c r="AM89" s="117" t="e">
        <f>IF($L$2="Yes",IFERROR((SUMIFS('DATA INPUT'!$E$3:$E$3000,'DATA INPUT'!$B$3:$B$3000,'Report Tables'!AM$1,'DATA INPUT'!$A$3:$A$3000,"&gt;="&amp;DATE(2024,3,1),'DATA INPUT'!$A$3:$A$3000,"&lt;"&amp;DATE(2024,3,31)))/COUNTIFS('DATA INPUT'!$B$3:$B$3000,'Report Tables'!AM$1,'DATA INPUT'!$A$3:$A$3000,"&gt;="&amp;DATE(2024,3,1),'DATA INPUT'!$A$3:$A$3000,"&lt;"&amp;DATE(2024,3,31)),#N/A),IFERROR((SUMIFS('DATA INPUT'!$E$3:$E$3000,'DATA INPUT'!$B$3:$B$3000,'Report Tables'!AM$1,'DATA INPUT'!$A$3:$A$3000,"&gt;="&amp;DATE(2024,3,1),'DATA INPUT'!$A$3:$A$3000,"&lt;"&amp;DATE(2024,3,31),'DATA INPUT'!$F$3:$F$3000,"&lt;&gt;*Exclude*"))/(COUNTIFS('DATA INPUT'!$B$3:$B$3000,'Report Tables'!AM$1,'DATA INPUT'!$A$3:$A$3000,"&gt;="&amp;DATE(2024,3,1),'DATA INPUT'!$A$3:$A$3000,"&lt;"&amp;DATE(2024,3,31),'DATA INPUT'!$F$3:$F$3000,"&lt;&gt;*Exclude*")),#N/A))</f>
        <v>#N/A</v>
      </c>
      <c r="AN89" s="117" t="e">
        <f>IF($L$2="Yes",IFERROR((SUMIFS('DATA INPUT'!$E$3:$E$3000,'DATA INPUT'!$B$3:$B$3000,'Report Tables'!AN$1,'DATA INPUT'!$A$3:$A$3000,"&gt;="&amp;DATE(2024,3,1),'DATA INPUT'!$A$3:$A$3000,"&lt;"&amp;DATE(2024,3,31)))/COUNTIFS('DATA INPUT'!$B$3:$B$3000,'Report Tables'!AN$1,'DATA INPUT'!$A$3:$A$3000,"&gt;="&amp;DATE(2024,3,1),'DATA INPUT'!$A$3:$A$3000,"&lt;"&amp;DATE(2024,3,31)),#N/A),IFERROR((SUMIFS('DATA INPUT'!$E$3:$E$3000,'DATA INPUT'!$B$3:$B$3000,'Report Tables'!AN$1,'DATA INPUT'!$A$3:$A$3000,"&gt;="&amp;DATE(2024,3,1),'DATA INPUT'!$A$3:$A$3000,"&lt;"&amp;DATE(2024,3,31),'DATA INPUT'!$F$3:$F$3000,"&lt;&gt;*Exclude*"))/(COUNTIFS('DATA INPUT'!$B$3:$B$3000,'Report Tables'!AN$1,'DATA INPUT'!$A$3:$A$3000,"&gt;="&amp;DATE(2024,3,1),'DATA INPUT'!$A$3:$A$3000,"&lt;"&amp;DATE(2024,3,31),'DATA INPUT'!$F$3:$F$3000,"&lt;&gt;*Exclude*")),#N/A))</f>
        <v>#N/A</v>
      </c>
      <c r="AO89" s="117" t="e">
        <f>IF($L$2="Yes",IFERROR((SUMIFS('DATA INPUT'!$E$3:$E$3000,'DATA INPUT'!$B$3:$B$3000,'Report Tables'!AO$1,'DATA INPUT'!$A$3:$A$3000,"&gt;="&amp;DATE(2024,3,1),'DATA INPUT'!$A$3:$A$3000,"&lt;"&amp;DATE(2024,3,31)))/COUNTIFS('DATA INPUT'!$B$3:$B$3000,'Report Tables'!AO$1,'DATA INPUT'!$A$3:$A$3000,"&gt;="&amp;DATE(2024,3,1),'DATA INPUT'!$A$3:$A$3000,"&lt;"&amp;DATE(2024,3,31)),#N/A),IFERROR((SUMIFS('DATA INPUT'!$E$3:$E$3000,'DATA INPUT'!$B$3:$B$3000,'Report Tables'!AO$1,'DATA INPUT'!$A$3:$A$3000,"&gt;="&amp;DATE(2024,3,1),'DATA INPUT'!$A$3:$A$3000,"&lt;"&amp;DATE(2024,3,31),'DATA INPUT'!$F$3:$F$3000,"&lt;&gt;*Exclude*"))/(COUNTIFS('DATA INPUT'!$B$3:$B$3000,'Report Tables'!AO$1,'DATA INPUT'!$A$3:$A$3000,"&gt;="&amp;DATE(2024,3,1),'DATA INPUT'!$A$3:$A$3000,"&lt;"&amp;DATE(2024,3,31),'DATA INPUT'!$F$3:$F$3000,"&lt;&gt;*Exclude*")),#N/A))</f>
        <v>#N/A</v>
      </c>
      <c r="AP89" s="117" t="e">
        <f>IF($L$2="Yes",IFERROR((SUMIFS('DATA INPUT'!$E$3:$E$3000,'DATA INPUT'!$B$3:$B$3000,'Report Tables'!AP$1,'DATA INPUT'!$A$3:$A$3000,"&gt;="&amp;DATE(2024,3,1),'DATA INPUT'!$A$3:$A$3000,"&lt;"&amp;DATE(2024,3,31)))/COUNTIFS('DATA INPUT'!$B$3:$B$3000,'Report Tables'!AP$1,'DATA INPUT'!$A$3:$A$3000,"&gt;="&amp;DATE(2024,3,1),'DATA INPUT'!$A$3:$A$3000,"&lt;"&amp;DATE(2024,3,31)),#N/A),IFERROR((SUMIFS('DATA INPUT'!$E$3:$E$3000,'DATA INPUT'!$B$3:$B$3000,'Report Tables'!AP$1,'DATA INPUT'!$A$3:$A$3000,"&gt;="&amp;DATE(2024,3,1),'DATA INPUT'!$A$3:$A$3000,"&lt;"&amp;DATE(2024,3,31),'DATA INPUT'!$F$3:$F$3000,"&lt;&gt;*Exclude*"))/(COUNTIFS('DATA INPUT'!$B$3:$B$3000,'Report Tables'!AP$1,'DATA INPUT'!$A$3:$A$3000,"&gt;="&amp;DATE(2024,3,1),'DATA INPUT'!$A$3:$A$3000,"&lt;"&amp;DATE(2024,3,31),'DATA INPUT'!$F$3:$F$3000,"&lt;&gt;*Exclude*")),#N/A))</f>
        <v>#N/A</v>
      </c>
      <c r="AQ89" s="117" t="e">
        <f>IF($L$2="Yes",IFERROR((SUMIFS('DATA INPUT'!$E$3:$E$3000,'DATA INPUT'!$B$3:$B$3000,'Report Tables'!AQ$1,'DATA INPUT'!$A$3:$A$3000,"&gt;="&amp;DATE(2024,3,1),'DATA INPUT'!$A$3:$A$3000,"&lt;"&amp;DATE(2024,3,31)))/COUNTIFS('DATA INPUT'!$B$3:$B$3000,'Report Tables'!AQ$1,'DATA INPUT'!$A$3:$A$3000,"&gt;="&amp;DATE(2024,3,1),'DATA INPUT'!$A$3:$A$3000,"&lt;"&amp;DATE(2024,3,31)),#N/A),IFERROR((SUMIFS('DATA INPUT'!$E$3:$E$3000,'DATA INPUT'!$B$3:$B$3000,'Report Tables'!AQ$1,'DATA INPUT'!$A$3:$A$3000,"&gt;="&amp;DATE(2024,3,1),'DATA INPUT'!$A$3:$A$3000,"&lt;"&amp;DATE(2024,3,31),'DATA INPUT'!$F$3:$F$3000,"&lt;&gt;*Exclude*"))/(COUNTIFS('DATA INPUT'!$B$3:$B$3000,'Report Tables'!AQ$1,'DATA INPUT'!$A$3:$A$3000,"&gt;="&amp;DATE(2024,3,1),'DATA INPUT'!$A$3:$A$3000,"&lt;"&amp;DATE(2024,3,31),'DATA INPUT'!$F$3:$F$3000,"&lt;&gt;*Exclude*")),#N/A))</f>
        <v>#N/A</v>
      </c>
      <c r="AR89" s="117" t="e">
        <f>IF($L$2="Yes",IFERROR((SUMIFS('DATA INPUT'!$E$3:$E$3000,'DATA INPUT'!$B$3:$B$3000,'Report Tables'!AR$1,'DATA INPUT'!$A$3:$A$3000,"&gt;="&amp;DATE(2024,3,1),'DATA INPUT'!$A$3:$A$3000,"&lt;"&amp;DATE(2024,3,31)))/COUNTIFS('DATA INPUT'!$B$3:$B$3000,'Report Tables'!AR$1,'DATA INPUT'!$A$3:$A$3000,"&gt;="&amp;DATE(2024,3,1),'DATA INPUT'!$A$3:$A$3000,"&lt;"&amp;DATE(2024,3,31)),#N/A),IFERROR((SUMIFS('DATA INPUT'!$E$3:$E$3000,'DATA INPUT'!$B$3:$B$3000,'Report Tables'!AR$1,'DATA INPUT'!$A$3:$A$3000,"&gt;="&amp;DATE(2024,3,1),'DATA INPUT'!$A$3:$A$3000,"&lt;"&amp;DATE(2024,3,31),'DATA INPUT'!$F$3:$F$3000,"&lt;&gt;*Exclude*"))/(COUNTIFS('DATA INPUT'!$B$3:$B$3000,'Report Tables'!AR$1,'DATA INPUT'!$A$3:$A$3000,"&gt;="&amp;DATE(2024,3,1),'DATA INPUT'!$A$3:$A$3000,"&lt;"&amp;DATE(2024,3,31),'DATA INPUT'!$F$3:$F$3000,"&lt;&gt;*Exclude*")),#N/A))</f>
        <v>#N/A</v>
      </c>
      <c r="AS89" s="117" t="e">
        <f>IF($L$2="Yes",IFERROR((SUMIFS('DATA INPUT'!$E$3:$E$3000,'DATA INPUT'!$B$3:$B$3000,'Report Tables'!AS$1,'DATA INPUT'!$A$3:$A$3000,"&gt;="&amp;DATE(2024,3,1),'DATA INPUT'!$A$3:$A$3000,"&lt;"&amp;DATE(2024,3,31)))/COUNTIFS('DATA INPUT'!$B$3:$B$3000,'Report Tables'!AS$1,'DATA INPUT'!$A$3:$A$3000,"&gt;="&amp;DATE(2024,3,1),'DATA INPUT'!$A$3:$A$3000,"&lt;"&amp;DATE(2024,3,31)),#N/A),IFERROR((SUMIFS('DATA INPUT'!$E$3:$E$3000,'DATA INPUT'!$B$3:$B$3000,'Report Tables'!AS$1,'DATA INPUT'!$A$3:$A$3000,"&gt;="&amp;DATE(2024,3,1),'DATA INPUT'!$A$3:$A$3000,"&lt;"&amp;DATE(2024,3,31),'DATA INPUT'!$F$3:$F$3000,"&lt;&gt;*Exclude*"))/(COUNTIFS('DATA INPUT'!$B$3:$B$3000,'Report Tables'!AS$1,'DATA INPUT'!$A$3:$A$3000,"&gt;="&amp;DATE(2024,3,1),'DATA INPUT'!$A$3:$A$3000,"&lt;"&amp;DATE(2024,3,31),'DATA INPUT'!$F$3:$F$3000,"&lt;&gt;*Exclude*")),#N/A))</f>
        <v>#N/A</v>
      </c>
      <c r="AT89" s="117" t="e">
        <f>IF($L$2="Yes",IFERROR((SUMIFS('DATA INPUT'!$E$3:$E$3000,'DATA INPUT'!$B$3:$B$3000,'Report Tables'!AT$1,'DATA INPUT'!$A$3:$A$3000,"&gt;="&amp;DATE(2024,3,1),'DATA INPUT'!$A$3:$A$3000,"&lt;"&amp;DATE(2024,3,31)))/COUNTIFS('DATA INPUT'!$B$3:$B$3000,'Report Tables'!AT$1,'DATA INPUT'!$A$3:$A$3000,"&gt;="&amp;DATE(2024,3,1),'DATA INPUT'!$A$3:$A$3000,"&lt;"&amp;DATE(2024,3,31)),#N/A),IFERROR((SUMIFS('DATA INPUT'!$E$3:$E$3000,'DATA INPUT'!$B$3:$B$3000,'Report Tables'!AT$1,'DATA INPUT'!$A$3:$A$3000,"&gt;="&amp;DATE(2024,3,1),'DATA INPUT'!$A$3:$A$3000,"&lt;"&amp;DATE(2024,3,31),'DATA INPUT'!$F$3:$F$3000,"&lt;&gt;*Exclude*"))/(COUNTIFS('DATA INPUT'!$B$3:$B$3000,'Report Tables'!AT$1,'DATA INPUT'!$A$3:$A$3000,"&gt;="&amp;DATE(2024,3,1),'DATA INPUT'!$A$3:$A$3000,"&lt;"&amp;DATE(2024,3,31),'DATA INPUT'!$F$3:$F$3000,"&lt;&gt;*Exclude*")),#N/A))</f>
        <v>#N/A</v>
      </c>
      <c r="AU89" s="117" t="e">
        <f t="shared" si="24"/>
        <v>#N/A</v>
      </c>
      <c r="AV89" s="117" t="e">
        <f>IF($L$2="Yes",IFERROR((SUMIFS('DATA INPUT'!$D$3:$D$3000,'DATA INPUT'!$A$3:$A$3000,"&gt;="&amp;DATE(2024,3,1),'DATA INPUT'!$A$3:$A$3000,"&lt;"&amp;DATE(2024,3,31),'DATA INPUT'!$G$3:$G$3000,"&lt;&gt;*School service*"))/COUNTIFS('DATA INPUT'!$A$3:$A$3000,"&gt;="&amp;DATE(2024,3,1),'DATA INPUT'!$A$3:$A$3000,"&lt;"&amp;DATE(2024,3,31),'DATA INPUT'!$G$3:$G$3000,"&lt;&gt;*School service*",'DATA INPUT'!$D$3:$D$3000,"&lt;&gt;"&amp;""),#N/A),IFERROR((SUMIFS('DATA INPUT'!$D$3:$D$3000,'DATA INPUT'!$A$3:$A$3000,"&gt;="&amp;DATE(2024,3,1),'DATA INPUT'!$A$3:$A$3000,"&lt;"&amp;DATE(2024,3,31),'DATA INPUT'!$F$3:$F$3000,"&lt;&gt;*Exclude*",'DATA INPUT'!$G$3:$G$3000,"&lt;&gt;*School service*"))/(COUNTIFS('DATA INPUT'!$A$3:$A$3000,"&gt;="&amp;DATE(2024,3,1),'DATA INPUT'!$A$3:$A$3000,"&lt;"&amp;DATE(2024,3,31),'DATA INPUT'!$F$3:$F$3000,"&lt;&gt;*Exclude*",'DATA INPUT'!$G$3:$G$3000,"&lt;&gt;*School service*",'DATA INPUT'!$D$3:$D$3000,"&lt;&gt;"&amp;"")),#N/A))</f>
        <v>#N/A</v>
      </c>
      <c r="AW89" s="117" t="e">
        <f t="shared" si="25"/>
        <v>#N/A</v>
      </c>
      <c r="AX89" s="117" t="e">
        <f>IF($L$2="Yes",IFERROR((SUMIFS('DATA INPUT'!$E$3:$E$3000,'DATA INPUT'!$B$3:$B$3000,'Report Tables'!AX$1,'DATA INPUT'!$A$3:$A$3000,"&gt;="&amp;DATE(2024,3,1),'DATA INPUT'!$A$3:$A$3000,"&lt;"&amp;DATE(2024,3,31)))/COUNTIFS('DATA INPUT'!$B$3:$B$3000,'Report Tables'!AX$1,'DATA INPUT'!$A$3:$A$3000,"&gt;="&amp;DATE(2024,3,1),'DATA INPUT'!$A$3:$A$3000,"&lt;"&amp;DATE(2024,3,31)),#N/A),IFERROR((SUMIFS('DATA INPUT'!$E$3:$E$3000,'DATA INPUT'!$B$3:$B$3000,'Report Tables'!AX$1,'DATA INPUT'!$A$3:$A$3000,"&gt;="&amp;DATE(2024,3,1),'DATA INPUT'!$A$3:$A$3000,"&lt;"&amp;DATE(2024,3,31),'DATA INPUT'!$F$3:$F$3000,"&lt;&gt;*Exclude*"))/(COUNTIFS('DATA INPUT'!$B$3:$B$3000,'Report Tables'!AX$1,'DATA INPUT'!$A$3:$A$3000,"&gt;="&amp;DATE(2024,3,1),'DATA INPUT'!$A$3:$A$3000,"&lt;"&amp;DATE(2024,3,31),'DATA INPUT'!$F$3:$F$3000,"&lt;&gt;*Exclude*")),#N/A))</f>
        <v>#N/A</v>
      </c>
      <c r="AY89" s="117" t="e">
        <f>IF($L$2="Yes",IFERROR((SUMIFS('DATA INPUT'!$D$3:$D$3000,'DATA INPUT'!$B$3:$B$3000,'Report Tables'!AX$1,'DATA INPUT'!$A$3:$A$3000,"&gt;="&amp;DATE(2024,3,1),'DATA INPUT'!$A$3:$A$3000,"&lt;"&amp;DATE(2024,3,31)))/COUNTIFS('DATA INPUT'!$B$3:$B$3000,'Report Tables'!AX$1,'DATA INPUT'!$A$3:$A$3000,"&gt;="&amp;DATE(2024,3,1),'DATA INPUT'!$A$3:$A$3000,"&lt;"&amp;DATE(2024,3,31)),#N/A),IFERROR((SUMIFS('DATA INPUT'!$D$3:$D$3000,'DATA INPUT'!$B$3:$B$3000,'Report Tables'!AX$1,'DATA INPUT'!$A$3:$A$3000,"&gt;="&amp;DATE(2024,3,1),'DATA INPUT'!$A$3:$A$3000,"&lt;"&amp;DATE(2024,3,31),'DATA INPUT'!$F$3:$F$3000,"&lt;&gt;*Exclude*"))/(COUNTIFS('DATA INPUT'!$B$3:$B$3000,'Report Tables'!AX$1,'DATA INPUT'!$A$3:$A$3000,"&gt;="&amp;DATE(2024,3,1),'DATA INPUT'!$A$3:$A$3000,"&lt;"&amp;DATE(2024,3,31),'DATA INPUT'!$F$3:$F$3000,"&lt;&gt;*Exclude*")),#N/A))</f>
        <v>#N/A</v>
      </c>
      <c r="AZ89" s="117" t="e">
        <f>IF($L$2="Yes",IFERROR((SUMIFS('DATA INPUT'!$C$3:$C$3000,'DATA INPUT'!$B$3:$B$3000,'Report Tables'!AX$1,'DATA INPUT'!$A$3:$A$3000,"&gt;="&amp;DATE(2024,3,1),'DATA INPUT'!$A$3:$A$3000,"&lt;"&amp;DATE(2024,3,31)))/COUNTIFS('DATA INPUT'!$B$3:$B$3000,'Report Tables'!AX$1,'DATA INPUT'!$A$3:$A$3000,"&gt;="&amp;DATE(2024,3,1),'DATA INPUT'!$A$3:$A$3000,"&lt;"&amp;DATE(2024,3,31)),#N/A),IFERROR((SUMIFS('DATA INPUT'!$C$3:$C$3000,'DATA INPUT'!$B$3:$B$3000,'Report Tables'!AX$1,'DATA INPUT'!$A$3:$A$3000,"&gt;="&amp;DATE(2024,3,1),'DATA INPUT'!$A$3:$A$3000,"&lt;"&amp;DATE(2024,3,31),'DATA INPUT'!$F$3:$F$3000,"&lt;&gt;*Exclude*"))/(COUNTIFS('DATA INPUT'!$B$3:$B$3000,'Report Tables'!AX$1,'DATA INPUT'!$A$3:$A$3000,"&gt;="&amp;DATE(2024,3,1),'DATA INPUT'!$A$3:$A$3000,"&lt;"&amp;DATE(2024,3,31),'DATA INPUT'!$F$3:$F$3000,"&lt;&gt;*Exclude*")),#N/A))</f>
        <v>#N/A</v>
      </c>
    </row>
    <row r="90" spans="25:52" x14ac:dyDescent="0.3">
      <c r="Y90" s="149"/>
      <c r="Z90" s="149" t="s">
        <v>15</v>
      </c>
      <c r="AA90" s="136" t="e">
        <f>IF($L$2="Yes",IF(SUMIFS('DATA INPUT'!$E$3:$E$3000,'DATA INPUT'!$B$3:$B$3000,'Report Tables'!AA$1,'DATA INPUT'!$A$3:$A$3000,"&gt;="&amp;DATE(2024,4,1),'DATA INPUT'!$A$3:$A$3000,"&lt;"&amp;DATE(2024,4,31))=0,#N/A,(SUMIFS('DATA INPUT'!$E$3:$E$3000,'DATA INPUT'!$B$3:$B$3000,'Report Tables'!AA$1,'DATA INPUT'!$A$3:$A$3000,"&gt;="&amp;DATE(2024,4,1),'DATA INPUT'!$A$3:$A$3000,"&lt;"&amp;DATE(2024,4,31)))),IF(SUMIFS('DATA INPUT'!$E$3:$E$3000,'DATA INPUT'!$B$3:$B$3000,'Report Tables'!AA$1,'DATA INPUT'!$A$3:$A$3000,"&gt;="&amp;DATE(2024,4,1),'DATA INPUT'!$A$3:$A$3000,"&lt;"&amp;DATE(2024,4,31),'DATA INPUT'!$F$3:$F$3000,"&lt;&gt;*Exclude*")=0,#N/A,(SUMIFS('DATA INPUT'!$E$3:$E$3000,'DATA INPUT'!$B$3:$B$3000,'Report Tables'!AA$1,'DATA INPUT'!$A$3:$A$3000,"&gt;="&amp;DATE(2024,4,1),'DATA INPUT'!$A$3:$A$3000,"&lt;"&amp;DATE(2024,4,31),'DATA INPUT'!$F$3:$F$3000,"&lt;&gt;*Exclude*"))))</f>
        <v>#N/A</v>
      </c>
      <c r="AB90" s="136" t="e">
        <f>IF($L$2="Yes",IF(SUMIFS('DATA INPUT'!$E$3:$E$3000,'DATA INPUT'!$B$3:$B$3000,'Report Tables'!AB$1,'DATA INPUT'!$A$3:$A$3000,"&gt;="&amp;DATE(2024,4,1),'DATA INPUT'!$A$3:$A$3000,"&lt;"&amp;DATE(2024,4,31))=0,#N/A,(SUMIFS('DATA INPUT'!$E$3:$E$3000,'DATA INPUT'!$B$3:$B$3000,'Report Tables'!AB$1,'DATA INPUT'!$A$3:$A$3000,"&gt;="&amp;DATE(2024,4,1),'DATA INPUT'!$A$3:$A$3000,"&lt;"&amp;DATE(2024,4,31)))),IF(SUMIFS('DATA INPUT'!$E$3:$E$3000,'DATA INPUT'!$B$3:$B$3000,'Report Tables'!AB$1,'DATA INPUT'!$A$3:$A$3000,"&gt;="&amp;DATE(2024,4,1),'DATA INPUT'!$A$3:$A$3000,"&lt;"&amp;DATE(2024,4,31),'DATA INPUT'!$F$3:$F$3000,"&lt;&gt;*Exclude*")=0,#N/A,(SUMIFS('DATA INPUT'!$E$3:$E$3000,'DATA INPUT'!$B$3:$B$3000,'Report Tables'!AB$1,'DATA INPUT'!$A$3:$A$3000,"&gt;="&amp;DATE(2024,4,1),'DATA INPUT'!$A$3:$A$3000,"&lt;"&amp;DATE(2024,4,31),'DATA INPUT'!$F$3:$F$3000,"&lt;&gt;*Exclude*"))))</f>
        <v>#N/A</v>
      </c>
      <c r="AC90" s="136" t="e">
        <f>IF($L$2="Yes",IF(SUMIFS('DATA INPUT'!$E$3:$E$3000,'DATA INPUT'!$B$3:$B$3000,'Report Tables'!AC$1,'DATA INPUT'!$A$3:$A$3000,"&gt;="&amp;DATE(2024,4,1),'DATA INPUT'!$A$3:$A$3000,"&lt;"&amp;DATE(2024,4,31))=0,#N/A,(SUMIFS('DATA INPUT'!$E$3:$E$3000,'DATA INPUT'!$B$3:$B$3000,'Report Tables'!AC$1,'DATA INPUT'!$A$3:$A$3000,"&gt;="&amp;DATE(2024,4,1),'DATA INPUT'!$A$3:$A$3000,"&lt;"&amp;DATE(2024,4,31)))),IF(SUMIFS('DATA INPUT'!$E$3:$E$3000,'DATA INPUT'!$B$3:$B$3000,'Report Tables'!AC$1,'DATA INPUT'!$A$3:$A$3000,"&gt;="&amp;DATE(2024,4,1),'DATA INPUT'!$A$3:$A$3000,"&lt;"&amp;DATE(2024,4,31),'DATA INPUT'!$F$3:$F$3000,"&lt;&gt;*Exclude*")=0,#N/A,(SUMIFS('DATA INPUT'!$E$3:$E$3000,'DATA INPUT'!$B$3:$B$3000,'Report Tables'!AC$1,'DATA INPUT'!$A$3:$A$3000,"&gt;="&amp;DATE(2024,4,1),'DATA INPUT'!$A$3:$A$3000,"&lt;"&amp;DATE(2024,4,31),'DATA INPUT'!$F$3:$F$3000,"&lt;&gt;*Exclude*"))))</f>
        <v>#N/A</v>
      </c>
      <c r="AD90" s="136" t="e">
        <f>IF($L$2="Yes",IF(SUMIFS('DATA INPUT'!$E$3:$E$3000,'DATA INPUT'!$B$3:$B$3000,'Report Tables'!AD$1,'DATA INPUT'!$A$3:$A$3000,"&gt;="&amp;DATE(2024,4,1),'DATA INPUT'!$A$3:$A$3000,"&lt;"&amp;DATE(2024,4,31))=0,#N/A,(SUMIFS('DATA INPUT'!$E$3:$E$3000,'DATA INPUT'!$B$3:$B$3000,'Report Tables'!AD$1,'DATA INPUT'!$A$3:$A$3000,"&gt;="&amp;DATE(2024,4,1),'DATA INPUT'!$A$3:$A$3000,"&lt;"&amp;DATE(2024,4,31)))),IF(SUMIFS('DATA INPUT'!$E$3:$E$3000,'DATA INPUT'!$B$3:$B$3000,'Report Tables'!AD$1,'DATA INPUT'!$A$3:$A$3000,"&gt;="&amp;DATE(2024,4,1),'DATA INPUT'!$A$3:$A$3000,"&lt;"&amp;DATE(2024,4,31),'DATA INPUT'!$F$3:$F$3000,"&lt;&gt;*Exclude*")=0,#N/A,(SUMIFS('DATA INPUT'!$E$3:$E$3000,'DATA INPUT'!$B$3:$B$3000,'Report Tables'!AD$1,'DATA INPUT'!$A$3:$A$3000,"&gt;="&amp;DATE(2024,4,1),'DATA INPUT'!$A$3:$A$3000,"&lt;"&amp;DATE(2024,4,31),'DATA INPUT'!$F$3:$F$3000,"&lt;&gt;*Exclude*"))))</f>
        <v>#N/A</v>
      </c>
      <c r="AE90" s="136" t="e">
        <f>IF($L$2="Yes",IF(SUMIFS('DATA INPUT'!$E$3:$E$3000,'DATA INPUT'!$B$3:$B$3000,'Report Tables'!AE$1,'DATA INPUT'!$A$3:$A$3000,"&gt;="&amp;DATE(2024,4,1),'DATA INPUT'!$A$3:$A$3000,"&lt;"&amp;DATE(2024,4,31))=0,#N/A,(SUMIFS('DATA INPUT'!$E$3:$E$3000,'DATA INPUT'!$B$3:$B$3000,'Report Tables'!AE$1,'DATA INPUT'!$A$3:$A$3000,"&gt;="&amp;DATE(2024,4,1),'DATA INPUT'!$A$3:$A$3000,"&lt;"&amp;DATE(2024,4,31)))),IF(SUMIFS('DATA INPUT'!$E$3:$E$3000,'DATA INPUT'!$B$3:$B$3000,'Report Tables'!AE$1,'DATA INPUT'!$A$3:$A$3000,"&gt;="&amp;DATE(2024,4,1),'DATA INPUT'!$A$3:$A$3000,"&lt;"&amp;DATE(2024,4,31),'DATA INPUT'!$F$3:$F$3000,"&lt;&gt;*Exclude*")=0,#N/A,(SUMIFS('DATA INPUT'!$E$3:$E$3000,'DATA INPUT'!$B$3:$B$3000,'Report Tables'!AE$1,'DATA INPUT'!$A$3:$A$3000,"&gt;="&amp;DATE(2024,4,1),'DATA INPUT'!$A$3:$A$3000,"&lt;"&amp;DATE(2024,4,31),'DATA INPUT'!$F$3:$F$3000,"&lt;&gt;*Exclude*"))))</f>
        <v>#N/A</v>
      </c>
      <c r="AF90" s="136" t="e">
        <f>IF($L$2="Yes",IF(SUMIFS('DATA INPUT'!$E$3:$E$3000,'DATA INPUT'!$B$3:$B$3000,'Report Tables'!AF$1,'DATA INPUT'!$A$3:$A$3000,"&gt;="&amp;DATE(2024,4,1),'DATA INPUT'!$A$3:$A$3000,"&lt;"&amp;DATE(2024,4,31))=0,#N/A,(SUMIFS('DATA INPUT'!$E$3:$E$3000,'DATA INPUT'!$B$3:$B$3000,'Report Tables'!AF$1,'DATA INPUT'!$A$3:$A$3000,"&gt;="&amp;DATE(2024,4,1),'DATA INPUT'!$A$3:$A$3000,"&lt;"&amp;DATE(2024,4,31)))),IF(SUMIFS('DATA INPUT'!$E$3:$E$3000,'DATA INPUT'!$B$3:$B$3000,'Report Tables'!AF$1,'DATA INPUT'!$A$3:$A$3000,"&gt;="&amp;DATE(2024,4,1),'DATA INPUT'!$A$3:$A$3000,"&lt;"&amp;DATE(2024,4,31),'DATA INPUT'!$F$3:$F$3000,"&lt;&gt;*Exclude*")=0,#N/A,(SUMIFS('DATA INPUT'!$E$3:$E$3000,'DATA INPUT'!$B$3:$B$3000,'Report Tables'!AF$1,'DATA INPUT'!$A$3:$A$3000,"&gt;="&amp;DATE(2024,4,1),'DATA INPUT'!$A$3:$A$3000,"&lt;"&amp;DATE(2024,4,31),'DATA INPUT'!$F$3:$F$3000,"&lt;&gt;*Exclude*"))))</f>
        <v>#N/A</v>
      </c>
      <c r="AG90" s="136" t="e">
        <f>IF($L$2="Yes",IF(SUMIFS('DATA INPUT'!$E$3:$E$3000,'DATA INPUT'!$B$3:$B$3000,'Report Tables'!AG$1,'DATA INPUT'!$A$3:$A$3000,"&gt;="&amp;DATE(2024,4,1),'DATA INPUT'!$A$3:$A$3000,"&lt;"&amp;DATE(2024,4,31))=0,#N/A,(SUMIFS('DATA INPUT'!$E$3:$E$3000,'DATA INPUT'!$B$3:$B$3000,'Report Tables'!AG$1,'DATA INPUT'!$A$3:$A$3000,"&gt;="&amp;DATE(2024,4,1),'DATA INPUT'!$A$3:$A$3000,"&lt;"&amp;DATE(2024,4,31)))),IF(SUMIFS('DATA INPUT'!$E$3:$E$3000,'DATA INPUT'!$B$3:$B$3000,'Report Tables'!AG$1,'DATA INPUT'!$A$3:$A$3000,"&gt;="&amp;DATE(2024,4,1),'DATA INPUT'!$A$3:$A$3000,"&lt;"&amp;DATE(2024,4,31),'DATA INPUT'!$F$3:$F$3000,"&lt;&gt;*Exclude*")=0,#N/A,(SUMIFS('DATA INPUT'!$E$3:$E$3000,'DATA INPUT'!$B$3:$B$3000,'Report Tables'!AG$1,'DATA INPUT'!$A$3:$A$3000,"&gt;="&amp;DATE(2024,4,1),'DATA INPUT'!$A$3:$A$3000,"&lt;"&amp;DATE(2024,4,31),'DATA INPUT'!$F$3:$F$3000,"&lt;&gt;*Exclude*"))))</f>
        <v>#N/A</v>
      </c>
      <c r="AH90" s="136" t="e">
        <f>IF($L$2="Yes",IF(SUMIFS('DATA INPUT'!$E$3:$E$3000,'DATA INPUT'!$B$3:$B$3000,'Report Tables'!AH$1,'DATA INPUT'!$A$3:$A$3000,"&gt;="&amp;DATE(2024,4,1),'DATA INPUT'!$A$3:$A$3000,"&lt;"&amp;DATE(2024,4,31))=0,#N/A,(SUMIFS('DATA INPUT'!$E$3:$E$3000,'DATA INPUT'!$B$3:$B$3000,'Report Tables'!AH$1,'DATA INPUT'!$A$3:$A$3000,"&gt;="&amp;DATE(2024,4,1),'DATA INPUT'!$A$3:$A$3000,"&lt;"&amp;DATE(2024,4,31)))),IF(SUMIFS('DATA INPUT'!$E$3:$E$3000,'DATA INPUT'!$B$3:$B$3000,'Report Tables'!AH$1,'DATA INPUT'!$A$3:$A$3000,"&gt;="&amp;DATE(2024,4,1),'DATA INPUT'!$A$3:$A$3000,"&lt;"&amp;DATE(2024,4,31),'DATA INPUT'!$F$3:$F$3000,"&lt;&gt;*Exclude*")=0,#N/A,(SUMIFS('DATA INPUT'!$E$3:$E$3000,'DATA INPUT'!$B$3:$B$3000,'Report Tables'!AH$1,'DATA INPUT'!$A$3:$A$3000,"&gt;="&amp;DATE(2024,4,1),'DATA INPUT'!$A$3:$A$3000,"&lt;"&amp;DATE(2024,4,31),'DATA INPUT'!$F$3:$F$3000,"&lt;&gt;*Exclude*"))))</f>
        <v>#N/A</v>
      </c>
      <c r="AI90" s="136" t="e">
        <f t="shared" si="23"/>
        <v>#N/A</v>
      </c>
      <c r="AJ90" s="136" t="e">
        <f>IF($L$2="Yes",IF(SUMIFS('DATA INPUT'!$D$3:$D$3000,'DATA INPUT'!$A$3:$A$3000,"&gt;="&amp;DATE(2024,4,1),'DATA INPUT'!$A$3:$A$3000,"&lt;"&amp;DATE(2024,4,31),'DATA INPUT'!$G$3:$G$3000,"&lt;&gt;*School service*")=0,#N/A,(SUMIFS('DATA INPUT'!$D$3:$D$3000,'DATA INPUT'!$A$3:$A$3000,"&gt;="&amp;DATE(2024,4,1),'DATA INPUT'!$A$3:$A$3000,"&lt;"&amp;DATE(2024,4,31),'DATA INPUT'!$G$3:$G$3000,"&lt;&gt;*School service*"))),IF(SUMIFS('DATA INPUT'!$D$3:$D$3000,'DATA INPUT'!$A$3:$A$3000,"&gt;="&amp;DATE(2024,4,1),'DATA INPUT'!$A$3:$A$3000,"&lt;"&amp;DATE(2024,4,31),'DATA INPUT'!$F$3:$F$3000,"&lt;&gt;*Exclude*",'DATA INPUT'!$G$3:$G$3000,"&lt;&gt;*School service*")=0,#N/A,(SUMIFS('DATA INPUT'!$D$3:$D$3000,'DATA INPUT'!$A$3:$A$3000,"&gt;="&amp;DATE(2024,4,1),'DATA INPUT'!$A$3:$A$3000,"&lt;"&amp;DATE(2024,4,31),'DATA INPUT'!$F$3:$F$3000,"&lt;&gt;*Exclude*",'DATA INPUT'!$G$3:$G$3000,"&lt;&gt;*School service*"))))</f>
        <v>#N/A</v>
      </c>
      <c r="AK90" s="136" t="e">
        <f>AI90-AJ90</f>
        <v>#N/A</v>
      </c>
      <c r="AM90" s="117" t="e">
        <f>IF($L$2="Yes",IFERROR((SUMIFS('DATA INPUT'!$E$3:$E$3000,'DATA INPUT'!$B$3:$B$3000,'Report Tables'!AM$1,'DATA INPUT'!$A$3:$A$3000,"&gt;="&amp;DATE(2024,4,1),'DATA INPUT'!$A$3:$A$3000,"&lt;"&amp;DATE(2024,4,31)))/COUNTIFS('DATA INPUT'!$B$3:$B$3000,'Report Tables'!AM$1,'DATA INPUT'!$A$3:$A$3000,"&gt;="&amp;DATE(2024,4,1),'DATA INPUT'!$A$3:$A$3000,"&lt;"&amp;DATE(2024,4,31)),#N/A),IFERROR((SUMIFS('DATA INPUT'!$E$3:$E$3000,'DATA INPUT'!$B$3:$B$3000,'Report Tables'!AM$1,'DATA INPUT'!$A$3:$A$3000,"&gt;="&amp;DATE(2024,4,1),'DATA INPUT'!$A$3:$A$3000,"&lt;"&amp;DATE(2024,4,31),'DATA INPUT'!$F$3:$F$3000,"&lt;&gt;*Exclude*"))/(COUNTIFS('DATA INPUT'!$B$3:$B$3000,'Report Tables'!AM$1,'DATA INPUT'!$A$3:$A$3000,"&gt;="&amp;DATE(2024,4,1),'DATA INPUT'!$A$3:$A$3000,"&lt;"&amp;DATE(2024,4,31),'DATA INPUT'!$F$3:$F$3000,"&lt;&gt;*Exclude*")),#N/A))</f>
        <v>#N/A</v>
      </c>
      <c r="AN90" s="117" t="e">
        <f>IF($L$2="Yes",IFERROR((SUMIFS('DATA INPUT'!$E$3:$E$3000,'DATA INPUT'!$B$3:$B$3000,'Report Tables'!AN$1,'DATA INPUT'!$A$3:$A$3000,"&gt;="&amp;DATE(2024,4,1),'DATA INPUT'!$A$3:$A$3000,"&lt;"&amp;DATE(2024,4,31)))/COUNTIFS('DATA INPUT'!$B$3:$B$3000,'Report Tables'!AN$1,'DATA INPUT'!$A$3:$A$3000,"&gt;="&amp;DATE(2024,4,1),'DATA INPUT'!$A$3:$A$3000,"&lt;"&amp;DATE(2024,4,31)),#N/A),IFERROR((SUMIFS('DATA INPUT'!$E$3:$E$3000,'DATA INPUT'!$B$3:$B$3000,'Report Tables'!AN$1,'DATA INPUT'!$A$3:$A$3000,"&gt;="&amp;DATE(2024,4,1),'DATA INPUT'!$A$3:$A$3000,"&lt;"&amp;DATE(2024,4,31),'DATA INPUT'!$F$3:$F$3000,"&lt;&gt;*Exclude*"))/(COUNTIFS('DATA INPUT'!$B$3:$B$3000,'Report Tables'!AN$1,'DATA INPUT'!$A$3:$A$3000,"&gt;="&amp;DATE(2024,4,1),'DATA INPUT'!$A$3:$A$3000,"&lt;"&amp;DATE(2024,4,31),'DATA INPUT'!$F$3:$F$3000,"&lt;&gt;*Exclude*")),#N/A))</f>
        <v>#N/A</v>
      </c>
      <c r="AO90" s="117" t="e">
        <f>IF($L$2="Yes",IFERROR((SUMIFS('DATA INPUT'!$E$3:$E$3000,'DATA INPUT'!$B$3:$B$3000,'Report Tables'!AO$1,'DATA INPUT'!$A$3:$A$3000,"&gt;="&amp;DATE(2024,4,1),'DATA INPUT'!$A$3:$A$3000,"&lt;"&amp;DATE(2024,4,31)))/COUNTIFS('DATA INPUT'!$B$3:$B$3000,'Report Tables'!AO$1,'DATA INPUT'!$A$3:$A$3000,"&gt;="&amp;DATE(2024,4,1),'DATA INPUT'!$A$3:$A$3000,"&lt;"&amp;DATE(2024,4,31)),#N/A),IFERROR((SUMIFS('DATA INPUT'!$E$3:$E$3000,'DATA INPUT'!$B$3:$B$3000,'Report Tables'!AO$1,'DATA INPUT'!$A$3:$A$3000,"&gt;="&amp;DATE(2024,4,1),'DATA INPUT'!$A$3:$A$3000,"&lt;"&amp;DATE(2024,4,31),'DATA INPUT'!$F$3:$F$3000,"&lt;&gt;*Exclude*"))/(COUNTIFS('DATA INPUT'!$B$3:$B$3000,'Report Tables'!AO$1,'DATA INPUT'!$A$3:$A$3000,"&gt;="&amp;DATE(2024,4,1),'DATA INPUT'!$A$3:$A$3000,"&lt;"&amp;DATE(2024,4,31),'DATA INPUT'!$F$3:$F$3000,"&lt;&gt;*Exclude*")),#N/A))</f>
        <v>#N/A</v>
      </c>
      <c r="AP90" s="117" t="e">
        <f>IF($L$2="Yes",IFERROR((SUMIFS('DATA INPUT'!$E$3:$E$3000,'DATA INPUT'!$B$3:$B$3000,'Report Tables'!AP$1,'DATA INPUT'!$A$3:$A$3000,"&gt;="&amp;DATE(2024,4,1),'DATA INPUT'!$A$3:$A$3000,"&lt;"&amp;DATE(2024,4,31)))/COUNTIFS('DATA INPUT'!$B$3:$B$3000,'Report Tables'!AP$1,'DATA INPUT'!$A$3:$A$3000,"&gt;="&amp;DATE(2024,4,1),'DATA INPUT'!$A$3:$A$3000,"&lt;"&amp;DATE(2024,4,31)),#N/A),IFERROR((SUMIFS('DATA INPUT'!$E$3:$E$3000,'DATA INPUT'!$B$3:$B$3000,'Report Tables'!AP$1,'DATA INPUT'!$A$3:$A$3000,"&gt;="&amp;DATE(2024,4,1),'DATA INPUT'!$A$3:$A$3000,"&lt;"&amp;DATE(2024,4,31),'DATA INPUT'!$F$3:$F$3000,"&lt;&gt;*Exclude*"))/(COUNTIFS('DATA INPUT'!$B$3:$B$3000,'Report Tables'!AP$1,'DATA INPUT'!$A$3:$A$3000,"&gt;="&amp;DATE(2024,4,1),'DATA INPUT'!$A$3:$A$3000,"&lt;"&amp;DATE(2024,4,31),'DATA INPUT'!$F$3:$F$3000,"&lt;&gt;*Exclude*")),#N/A))</f>
        <v>#N/A</v>
      </c>
      <c r="AQ90" s="117" t="e">
        <f>IF($L$2="Yes",IFERROR((SUMIFS('DATA INPUT'!$E$3:$E$3000,'DATA INPUT'!$B$3:$B$3000,'Report Tables'!AQ$1,'DATA INPUT'!$A$3:$A$3000,"&gt;="&amp;DATE(2024,4,1),'DATA INPUT'!$A$3:$A$3000,"&lt;"&amp;DATE(2024,4,31)))/COUNTIFS('DATA INPUT'!$B$3:$B$3000,'Report Tables'!AQ$1,'DATA INPUT'!$A$3:$A$3000,"&gt;="&amp;DATE(2024,4,1),'DATA INPUT'!$A$3:$A$3000,"&lt;"&amp;DATE(2024,4,31)),#N/A),IFERROR((SUMIFS('DATA INPUT'!$E$3:$E$3000,'DATA INPUT'!$B$3:$B$3000,'Report Tables'!AQ$1,'DATA INPUT'!$A$3:$A$3000,"&gt;="&amp;DATE(2024,4,1),'DATA INPUT'!$A$3:$A$3000,"&lt;"&amp;DATE(2024,4,31),'DATA INPUT'!$F$3:$F$3000,"&lt;&gt;*Exclude*"))/(COUNTIFS('DATA INPUT'!$B$3:$B$3000,'Report Tables'!AQ$1,'DATA INPUT'!$A$3:$A$3000,"&gt;="&amp;DATE(2024,4,1),'DATA INPUT'!$A$3:$A$3000,"&lt;"&amp;DATE(2024,4,31),'DATA INPUT'!$F$3:$F$3000,"&lt;&gt;*Exclude*")),#N/A))</f>
        <v>#N/A</v>
      </c>
      <c r="AR90" s="117" t="e">
        <f>IF($L$2="Yes",IFERROR((SUMIFS('DATA INPUT'!$E$3:$E$3000,'DATA INPUT'!$B$3:$B$3000,'Report Tables'!AR$1,'DATA INPUT'!$A$3:$A$3000,"&gt;="&amp;DATE(2024,4,1),'DATA INPUT'!$A$3:$A$3000,"&lt;"&amp;DATE(2024,4,31)))/COUNTIFS('DATA INPUT'!$B$3:$B$3000,'Report Tables'!AR$1,'DATA INPUT'!$A$3:$A$3000,"&gt;="&amp;DATE(2024,4,1),'DATA INPUT'!$A$3:$A$3000,"&lt;"&amp;DATE(2024,4,31)),#N/A),IFERROR((SUMIFS('DATA INPUT'!$E$3:$E$3000,'DATA INPUT'!$B$3:$B$3000,'Report Tables'!AR$1,'DATA INPUT'!$A$3:$A$3000,"&gt;="&amp;DATE(2024,4,1),'DATA INPUT'!$A$3:$A$3000,"&lt;"&amp;DATE(2024,4,31),'DATA INPUT'!$F$3:$F$3000,"&lt;&gt;*Exclude*"))/(COUNTIFS('DATA INPUT'!$B$3:$B$3000,'Report Tables'!AR$1,'DATA INPUT'!$A$3:$A$3000,"&gt;="&amp;DATE(2024,4,1),'DATA INPUT'!$A$3:$A$3000,"&lt;"&amp;DATE(2024,4,31),'DATA INPUT'!$F$3:$F$3000,"&lt;&gt;*Exclude*")),#N/A))</f>
        <v>#N/A</v>
      </c>
      <c r="AS90" s="117" t="e">
        <f>IF($L$2="Yes",IFERROR((SUMIFS('DATA INPUT'!$E$3:$E$3000,'DATA INPUT'!$B$3:$B$3000,'Report Tables'!AS$1,'DATA INPUT'!$A$3:$A$3000,"&gt;="&amp;DATE(2024,4,1),'DATA INPUT'!$A$3:$A$3000,"&lt;"&amp;DATE(2024,4,31)))/COUNTIFS('DATA INPUT'!$B$3:$B$3000,'Report Tables'!AS$1,'DATA INPUT'!$A$3:$A$3000,"&gt;="&amp;DATE(2024,4,1),'DATA INPUT'!$A$3:$A$3000,"&lt;"&amp;DATE(2024,4,31)),#N/A),IFERROR((SUMIFS('DATA INPUT'!$E$3:$E$3000,'DATA INPUT'!$B$3:$B$3000,'Report Tables'!AS$1,'DATA INPUT'!$A$3:$A$3000,"&gt;="&amp;DATE(2024,4,1),'DATA INPUT'!$A$3:$A$3000,"&lt;"&amp;DATE(2024,4,31),'DATA INPUT'!$F$3:$F$3000,"&lt;&gt;*Exclude*"))/(COUNTIFS('DATA INPUT'!$B$3:$B$3000,'Report Tables'!AS$1,'DATA INPUT'!$A$3:$A$3000,"&gt;="&amp;DATE(2024,4,1),'DATA INPUT'!$A$3:$A$3000,"&lt;"&amp;DATE(2024,4,31),'DATA INPUT'!$F$3:$F$3000,"&lt;&gt;*Exclude*")),#N/A))</f>
        <v>#N/A</v>
      </c>
      <c r="AT90" s="117" t="e">
        <f>IF($L$2="Yes",IFERROR((SUMIFS('DATA INPUT'!$E$3:$E$3000,'DATA INPUT'!$B$3:$B$3000,'Report Tables'!AT$1,'DATA INPUT'!$A$3:$A$3000,"&gt;="&amp;DATE(2024,4,1),'DATA INPUT'!$A$3:$A$3000,"&lt;"&amp;DATE(2024,4,31)))/COUNTIFS('DATA INPUT'!$B$3:$B$3000,'Report Tables'!AT$1,'DATA INPUT'!$A$3:$A$3000,"&gt;="&amp;DATE(2024,4,1),'DATA INPUT'!$A$3:$A$3000,"&lt;"&amp;DATE(2024,4,31)),#N/A),IFERROR((SUMIFS('DATA INPUT'!$E$3:$E$3000,'DATA INPUT'!$B$3:$B$3000,'Report Tables'!AT$1,'DATA INPUT'!$A$3:$A$3000,"&gt;="&amp;DATE(2024,4,1),'DATA INPUT'!$A$3:$A$3000,"&lt;"&amp;DATE(2024,4,31),'DATA INPUT'!$F$3:$F$3000,"&lt;&gt;*Exclude*"))/(COUNTIFS('DATA INPUT'!$B$3:$B$3000,'Report Tables'!AT$1,'DATA INPUT'!$A$3:$A$3000,"&gt;="&amp;DATE(2024,4,1),'DATA INPUT'!$A$3:$A$3000,"&lt;"&amp;DATE(2024,4,31),'DATA INPUT'!$F$3:$F$3000,"&lt;&gt;*Exclude*")),#N/A))</f>
        <v>#N/A</v>
      </c>
      <c r="AU90" s="117" t="e">
        <f t="shared" si="24"/>
        <v>#N/A</v>
      </c>
      <c r="AV90" s="117" t="e">
        <f>IF($L$2="Yes",IFERROR((SUMIFS('DATA INPUT'!$D$3:$D$3000,'DATA INPUT'!$A$3:$A$3000,"&gt;="&amp;DATE(2024,4,1),'DATA INPUT'!$A$3:$A$3000,"&lt;"&amp;DATE(2024,4,31),'DATA INPUT'!$G$3:$G$3000,"&lt;&gt;*School service*"))/COUNTIFS('DATA INPUT'!$A$3:$A$3000,"&gt;="&amp;DATE(2024,4,1),'DATA INPUT'!$A$3:$A$3000,"&lt;"&amp;DATE(2024,4,31),'DATA INPUT'!$G$3:$G$3000,"&lt;&gt;*School service*",'DATA INPUT'!$D$3:$D$3000,"&lt;&gt;"&amp;""),#N/A),IFERROR((SUMIFS('DATA INPUT'!$D$3:$D$3000,'DATA INPUT'!$A$3:$A$3000,"&gt;="&amp;DATE(2024,4,1),'DATA INPUT'!$A$3:$A$3000,"&lt;"&amp;DATE(2024,4,31),'DATA INPUT'!$F$3:$F$3000,"&lt;&gt;*Exclude*",'DATA INPUT'!$G$3:$G$3000,"&lt;&gt;*School service*"))/(COUNTIFS('DATA INPUT'!$A$3:$A$3000,"&gt;="&amp;DATE(2024,4,1),'DATA INPUT'!$A$3:$A$3000,"&lt;"&amp;DATE(2024,4,31),'DATA INPUT'!$F$3:$F$3000,"&lt;&gt;*Exclude*",'DATA INPUT'!$G$3:$G$3000,"&lt;&gt;*School service*",'DATA INPUT'!$D$3:$D$3000,"&lt;&gt;"&amp;"")),#N/A))</f>
        <v>#N/A</v>
      </c>
      <c r="AW90" s="117" t="e">
        <f t="shared" si="25"/>
        <v>#N/A</v>
      </c>
      <c r="AX90" s="117" t="e">
        <f>IF($L$2="Yes",IFERROR((SUMIFS('DATA INPUT'!$E$3:$E$3000,'DATA INPUT'!$B$3:$B$3000,'Report Tables'!AX$1,'DATA INPUT'!$A$3:$A$3000,"&gt;="&amp;DATE(2024,4,1),'DATA INPUT'!$A$3:$A$3000,"&lt;"&amp;DATE(2024,4,31)))/COUNTIFS('DATA INPUT'!$B$3:$B$3000,'Report Tables'!AX$1,'DATA INPUT'!$A$3:$A$3000,"&gt;="&amp;DATE(2024,4,1),'DATA INPUT'!$A$3:$A$3000,"&lt;"&amp;DATE(2024,4,31)),#N/A),IFERROR((SUMIFS('DATA INPUT'!$E$3:$E$3000,'DATA INPUT'!$B$3:$B$3000,'Report Tables'!AX$1,'DATA INPUT'!$A$3:$A$3000,"&gt;="&amp;DATE(2024,4,1),'DATA INPUT'!$A$3:$A$3000,"&lt;"&amp;DATE(2024,4,31),'DATA INPUT'!$F$3:$F$3000,"&lt;&gt;*Exclude*"))/(COUNTIFS('DATA INPUT'!$B$3:$B$3000,'Report Tables'!AX$1,'DATA INPUT'!$A$3:$A$3000,"&gt;="&amp;DATE(2024,4,1),'DATA INPUT'!$A$3:$A$3000,"&lt;"&amp;DATE(2024,4,31),'DATA INPUT'!$F$3:$F$3000,"&lt;&gt;*Exclude*")),#N/A))</f>
        <v>#N/A</v>
      </c>
      <c r="AY90" s="117" t="e">
        <f>IF($L$2="Yes",IFERROR((SUMIFS('DATA INPUT'!$D$3:$D$3000,'DATA INPUT'!$B$3:$B$3000,'Report Tables'!AX$1,'DATA INPUT'!$A$3:$A$3000,"&gt;="&amp;DATE(2024,4,1),'DATA INPUT'!$A$3:$A$3000,"&lt;"&amp;DATE(2024,4,31)))/COUNTIFS('DATA INPUT'!$B$3:$B$3000,'Report Tables'!AX$1,'DATA INPUT'!$A$3:$A$3000,"&gt;="&amp;DATE(2024,4,1),'DATA INPUT'!$A$3:$A$3000,"&lt;"&amp;DATE(2024,4,31)),#N/A),IFERROR((SUMIFS('DATA INPUT'!$D$3:$D$3000,'DATA INPUT'!$B$3:$B$3000,'Report Tables'!AX$1,'DATA INPUT'!$A$3:$A$3000,"&gt;="&amp;DATE(2024,4,1),'DATA INPUT'!$A$3:$A$3000,"&lt;"&amp;DATE(2024,4,31),'DATA INPUT'!$F$3:$F$3000,"&lt;&gt;*Exclude*"))/(COUNTIFS('DATA INPUT'!$B$3:$B$3000,'Report Tables'!AX$1,'DATA INPUT'!$A$3:$A$3000,"&gt;="&amp;DATE(2024,4,1),'DATA INPUT'!$A$3:$A$3000,"&lt;"&amp;DATE(2024,4,31),'DATA INPUT'!$F$3:$F$3000,"&lt;&gt;*Exclude*")),#N/A))</f>
        <v>#N/A</v>
      </c>
      <c r="AZ90" s="117" t="e">
        <f>IF($L$2="Yes",IFERROR((SUMIFS('DATA INPUT'!$C$3:$C$3000,'DATA INPUT'!$B$3:$B$3000,'Report Tables'!AX$1,'DATA INPUT'!$A$3:$A$3000,"&gt;="&amp;DATE(2024,4,1),'DATA INPUT'!$A$3:$A$3000,"&lt;"&amp;DATE(2024,4,31)))/COUNTIFS('DATA INPUT'!$B$3:$B$3000,'Report Tables'!AX$1,'DATA INPUT'!$A$3:$A$3000,"&gt;="&amp;DATE(2024,4,1),'DATA INPUT'!$A$3:$A$3000,"&lt;"&amp;DATE(2024,4,31)),#N/A),IFERROR((SUMIFS('DATA INPUT'!$C$3:$C$3000,'DATA INPUT'!$B$3:$B$3000,'Report Tables'!AX$1,'DATA INPUT'!$A$3:$A$3000,"&gt;="&amp;DATE(2024,4,1),'DATA INPUT'!$A$3:$A$3000,"&lt;"&amp;DATE(2024,4,31),'DATA INPUT'!$F$3:$F$3000,"&lt;&gt;*Exclude*"))/(COUNTIFS('DATA INPUT'!$B$3:$B$3000,'Report Tables'!AX$1,'DATA INPUT'!$A$3:$A$3000,"&gt;="&amp;DATE(2024,4,1),'DATA INPUT'!$A$3:$A$3000,"&lt;"&amp;DATE(2024,4,31),'DATA INPUT'!$F$3:$F$3000,"&lt;&gt;*Exclude*")),#N/A))</f>
        <v>#N/A</v>
      </c>
    </row>
    <row r="91" spans="25:52" x14ac:dyDescent="0.3">
      <c r="Y91" s="149"/>
      <c r="Z91" s="149" t="s">
        <v>16</v>
      </c>
      <c r="AA91" s="136" t="e">
        <f>IF($L$2="Yes",IF(SUMIFS('DATA INPUT'!$E$3:$E$3000,'DATA INPUT'!$B$3:$B$3000,'Report Tables'!AA$1,'DATA INPUT'!$A$3:$A$3000,"&gt;="&amp;DATE(2024,5,1),'DATA INPUT'!$A$3:$A$3000,"&lt;"&amp;DATE(2024,5,31))=0,#N/A,(SUMIFS('DATA INPUT'!$E$3:$E$3000,'DATA INPUT'!$B$3:$B$3000,'Report Tables'!AA$1,'DATA INPUT'!$A$3:$A$3000,"&gt;="&amp;DATE(2024,5,1),'DATA INPUT'!$A$3:$A$3000,"&lt;"&amp;DATE(2024,5,31)))),IF(SUMIFS('DATA INPUT'!$E$3:$E$3000,'DATA INPUT'!$B$3:$B$3000,'Report Tables'!AA$1,'DATA INPUT'!$A$3:$A$3000,"&gt;="&amp;DATE(2024,5,1),'DATA INPUT'!$A$3:$A$3000,"&lt;"&amp;DATE(2024,5,31),'DATA INPUT'!$F$3:$F$3000,"&lt;&gt;*Exclude*")=0,#N/A,(SUMIFS('DATA INPUT'!$E$3:$E$3000,'DATA INPUT'!$B$3:$B$3000,'Report Tables'!AA$1,'DATA INPUT'!$A$3:$A$3000,"&gt;="&amp;DATE(2024,5,1),'DATA INPUT'!$A$3:$A$3000,"&lt;"&amp;DATE(2024,5,31),'DATA INPUT'!$F$3:$F$3000,"&lt;&gt;*Exclude*"))))</f>
        <v>#N/A</v>
      </c>
      <c r="AB91" s="136" t="e">
        <f>IF($L$2="Yes",IF(SUMIFS('DATA INPUT'!$E$3:$E$3000,'DATA INPUT'!$B$3:$B$3000,'Report Tables'!AB$1,'DATA INPUT'!$A$3:$A$3000,"&gt;="&amp;DATE(2024,5,1),'DATA INPUT'!$A$3:$A$3000,"&lt;"&amp;DATE(2024,5,31))=0,#N/A,(SUMIFS('DATA INPUT'!$E$3:$E$3000,'DATA INPUT'!$B$3:$B$3000,'Report Tables'!AB$1,'DATA INPUT'!$A$3:$A$3000,"&gt;="&amp;DATE(2024,5,1),'DATA INPUT'!$A$3:$A$3000,"&lt;"&amp;DATE(2024,5,31)))),IF(SUMIFS('DATA INPUT'!$E$3:$E$3000,'DATA INPUT'!$B$3:$B$3000,'Report Tables'!AB$1,'DATA INPUT'!$A$3:$A$3000,"&gt;="&amp;DATE(2024,5,1),'DATA INPUT'!$A$3:$A$3000,"&lt;"&amp;DATE(2024,5,31),'DATA INPUT'!$F$3:$F$3000,"&lt;&gt;*Exclude*")=0,#N/A,(SUMIFS('DATA INPUT'!$E$3:$E$3000,'DATA INPUT'!$B$3:$B$3000,'Report Tables'!AB$1,'DATA INPUT'!$A$3:$A$3000,"&gt;="&amp;DATE(2024,5,1),'DATA INPUT'!$A$3:$A$3000,"&lt;"&amp;DATE(2024,5,31),'DATA INPUT'!$F$3:$F$3000,"&lt;&gt;*Exclude*"))))</f>
        <v>#N/A</v>
      </c>
      <c r="AC91" s="136" t="e">
        <f>IF($L$2="Yes",IF(SUMIFS('DATA INPUT'!$E$3:$E$3000,'DATA INPUT'!$B$3:$B$3000,'Report Tables'!AC$1,'DATA INPUT'!$A$3:$A$3000,"&gt;="&amp;DATE(2024,5,1),'DATA INPUT'!$A$3:$A$3000,"&lt;"&amp;DATE(2024,5,31))=0,#N/A,(SUMIFS('DATA INPUT'!$E$3:$E$3000,'DATA INPUT'!$B$3:$B$3000,'Report Tables'!AC$1,'DATA INPUT'!$A$3:$A$3000,"&gt;="&amp;DATE(2024,5,1),'DATA INPUT'!$A$3:$A$3000,"&lt;"&amp;DATE(2024,5,31)))),IF(SUMIFS('DATA INPUT'!$E$3:$E$3000,'DATA INPUT'!$B$3:$B$3000,'Report Tables'!AC$1,'DATA INPUT'!$A$3:$A$3000,"&gt;="&amp;DATE(2024,5,1),'DATA INPUT'!$A$3:$A$3000,"&lt;"&amp;DATE(2024,5,31),'DATA INPUT'!$F$3:$F$3000,"&lt;&gt;*Exclude*")=0,#N/A,(SUMIFS('DATA INPUT'!$E$3:$E$3000,'DATA INPUT'!$B$3:$B$3000,'Report Tables'!AC$1,'DATA INPUT'!$A$3:$A$3000,"&gt;="&amp;DATE(2024,5,1),'DATA INPUT'!$A$3:$A$3000,"&lt;"&amp;DATE(2024,5,31),'DATA INPUT'!$F$3:$F$3000,"&lt;&gt;*Exclude*"))))</f>
        <v>#N/A</v>
      </c>
      <c r="AD91" s="136" t="e">
        <f>IF($L$2="Yes",IF(SUMIFS('DATA INPUT'!$E$3:$E$3000,'DATA INPUT'!$B$3:$B$3000,'Report Tables'!AD$1,'DATA INPUT'!$A$3:$A$3000,"&gt;="&amp;DATE(2024,5,1),'DATA INPUT'!$A$3:$A$3000,"&lt;"&amp;DATE(2024,5,31))=0,#N/A,(SUMIFS('DATA INPUT'!$E$3:$E$3000,'DATA INPUT'!$B$3:$B$3000,'Report Tables'!AD$1,'DATA INPUT'!$A$3:$A$3000,"&gt;="&amp;DATE(2024,5,1),'DATA INPUT'!$A$3:$A$3000,"&lt;"&amp;DATE(2024,5,31)))),IF(SUMIFS('DATA INPUT'!$E$3:$E$3000,'DATA INPUT'!$B$3:$B$3000,'Report Tables'!AD$1,'DATA INPUT'!$A$3:$A$3000,"&gt;="&amp;DATE(2024,5,1),'DATA INPUT'!$A$3:$A$3000,"&lt;"&amp;DATE(2024,5,31),'DATA INPUT'!$F$3:$F$3000,"&lt;&gt;*Exclude*")=0,#N/A,(SUMIFS('DATA INPUT'!$E$3:$E$3000,'DATA INPUT'!$B$3:$B$3000,'Report Tables'!AD$1,'DATA INPUT'!$A$3:$A$3000,"&gt;="&amp;DATE(2024,5,1),'DATA INPUT'!$A$3:$A$3000,"&lt;"&amp;DATE(2024,5,31),'DATA INPUT'!$F$3:$F$3000,"&lt;&gt;*Exclude*"))))</f>
        <v>#N/A</v>
      </c>
      <c r="AE91" s="136" t="e">
        <f>IF($L$2="Yes",IF(SUMIFS('DATA INPUT'!$E$3:$E$3000,'DATA INPUT'!$B$3:$B$3000,'Report Tables'!AE$1,'DATA INPUT'!$A$3:$A$3000,"&gt;="&amp;DATE(2024,5,1),'DATA INPUT'!$A$3:$A$3000,"&lt;"&amp;DATE(2024,5,31))=0,#N/A,(SUMIFS('DATA INPUT'!$E$3:$E$3000,'DATA INPUT'!$B$3:$B$3000,'Report Tables'!AE$1,'DATA INPUT'!$A$3:$A$3000,"&gt;="&amp;DATE(2024,5,1),'DATA INPUT'!$A$3:$A$3000,"&lt;"&amp;DATE(2024,5,31)))),IF(SUMIFS('DATA INPUT'!$E$3:$E$3000,'DATA INPUT'!$B$3:$B$3000,'Report Tables'!AE$1,'DATA INPUT'!$A$3:$A$3000,"&gt;="&amp;DATE(2024,5,1),'DATA INPUT'!$A$3:$A$3000,"&lt;"&amp;DATE(2024,5,31),'DATA INPUT'!$F$3:$F$3000,"&lt;&gt;*Exclude*")=0,#N/A,(SUMIFS('DATA INPUT'!$E$3:$E$3000,'DATA INPUT'!$B$3:$B$3000,'Report Tables'!AE$1,'DATA INPUT'!$A$3:$A$3000,"&gt;="&amp;DATE(2024,5,1),'DATA INPUT'!$A$3:$A$3000,"&lt;"&amp;DATE(2024,5,31),'DATA INPUT'!$F$3:$F$3000,"&lt;&gt;*Exclude*"))))</f>
        <v>#N/A</v>
      </c>
      <c r="AF91" s="136" t="e">
        <f>IF($L$2="Yes",IF(SUMIFS('DATA INPUT'!$E$3:$E$3000,'DATA INPUT'!$B$3:$B$3000,'Report Tables'!AF$1,'DATA INPUT'!$A$3:$A$3000,"&gt;="&amp;DATE(2024,5,1),'DATA INPUT'!$A$3:$A$3000,"&lt;"&amp;DATE(2024,5,31))=0,#N/A,(SUMIFS('DATA INPUT'!$E$3:$E$3000,'DATA INPUT'!$B$3:$B$3000,'Report Tables'!AF$1,'DATA INPUT'!$A$3:$A$3000,"&gt;="&amp;DATE(2024,5,1),'DATA INPUT'!$A$3:$A$3000,"&lt;"&amp;DATE(2024,5,31)))),IF(SUMIFS('DATA INPUT'!$E$3:$E$3000,'DATA INPUT'!$B$3:$B$3000,'Report Tables'!AF$1,'DATA INPUT'!$A$3:$A$3000,"&gt;="&amp;DATE(2024,5,1),'DATA INPUT'!$A$3:$A$3000,"&lt;"&amp;DATE(2024,5,31),'DATA INPUT'!$F$3:$F$3000,"&lt;&gt;*Exclude*")=0,#N/A,(SUMIFS('DATA INPUT'!$E$3:$E$3000,'DATA INPUT'!$B$3:$B$3000,'Report Tables'!AF$1,'DATA INPUT'!$A$3:$A$3000,"&gt;="&amp;DATE(2024,5,1),'DATA INPUT'!$A$3:$A$3000,"&lt;"&amp;DATE(2024,5,31),'DATA INPUT'!$F$3:$F$3000,"&lt;&gt;*Exclude*"))))</f>
        <v>#N/A</v>
      </c>
      <c r="AG91" s="136" t="e">
        <f>IF($L$2="Yes",IF(SUMIFS('DATA INPUT'!$E$3:$E$3000,'DATA INPUT'!$B$3:$B$3000,'Report Tables'!AG$1,'DATA INPUT'!$A$3:$A$3000,"&gt;="&amp;DATE(2024,5,1),'DATA INPUT'!$A$3:$A$3000,"&lt;"&amp;DATE(2024,5,31))=0,#N/A,(SUMIFS('DATA INPUT'!$E$3:$E$3000,'DATA INPUT'!$B$3:$B$3000,'Report Tables'!AG$1,'DATA INPUT'!$A$3:$A$3000,"&gt;="&amp;DATE(2024,5,1),'DATA INPUT'!$A$3:$A$3000,"&lt;"&amp;DATE(2024,5,31)))),IF(SUMIFS('DATA INPUT'!$E$3:$E$3000,'DATA INPUT'!$B$3:$B$3000,'Report Tables'!AG$1,'DATA INPUT'!$A$3:$A$3000,"&gt;="&amp;DATE(2024,5,1),'DATA INPUT'!$A$3:$A$3000,"&lt;"&amp;DATE(2024,5,31),'DATA INPUT'!$F$3:$F$3000,"&lt;&gt;*Exclude*")=0,#N/A,(SUMIFS('DATA INPUT'!$E$3:$E$3000,'DATA INPUT'!$B$3:$B$3000,'Report Tables'!AG$1,'DATA INPUT'!$A$3:$A$3000,"&gt;="&amp;DATE(2024,5,1),'DATA INPUT'!$A$3:$A$3000,"&lt;"&amp;DATE(2024,5,31),'DATA INPUT'!$F$3:$F$3000,"&lt;&gt;*Exclude*"))))</f>
        <v>#N/A</v>
      </c>
      <c r="AH91" s="136" t="e">
        <f>IF($L$2="Yes",IF(SUMIFS('DATA INPUT'!$E$3:$E$3000,'DATA INPUT'!$B$3:$B$3000,'Report Tables'!AH$1,'DATA INPUT'!$A$3:$A$3000,"&gt;="&amp;DATE(2024,5,1),'DATA INPUT'!$A$3:$A$3000,"&lt;"&amp;DATE(2024,5,31))=0,#N/A,(SUMIFS('DATA INPUT'!$E$3:$E$3000,'DATA INPUT'!$B$3:$B$3000,'Report Tables'!AH$1,'DATA INPUT'!$A$3:$A$3000,"&gt;="&amp;DATE(2024,5,1),'DATA INPUT'!$A$3:$A$3000,"&lt;"&amp;DATE(2024,5,31)))),IF(SUMIFS('DATA INPUT'!$E$3:$E$3000,'DATA INPUT'!$B$3:$B$3000,'Report Tables'!AH$1,'DATA INPUT'!$A$3:$A$3000,"&gt;="&amp;DATE(2024,5,1),'DATA INPUT'!$A$3:$A$3000,"&lt;"&amp;DATE(2024,5,31),'DATA INPUT'!$F$3:$F$3000,"&lt;&gt;*Exclude*")=0,#N/A,(SUMIFS('DATA INPUT'!$E$3:$E$3000,'DATA INPUT'!$B$3:$B$3000,'Report Tables'!AH$1,'DATA INPUT'!$A$3:$A$3000,"&gt;="&amp;DATE(2024,5,1),'DATA INPUT'!$A$3:$A$3000,"&lt;"&amp;DATE(2024,5,31),'DATA INPUT'!$F$3:$F$3000,"&lt;&gt;*Exclude*"))))</f>
        <v>#N/A</v>
      </c>
      <c r="AI91" s="136" t="e">
        <f t="shared" si="23"/>
        <v>#N/A</v>
      </c>
      <c r="AJ91" s="136" t="e">
        <f>IF($L$2="Yes",IF(SUMIFS('DATA INPUT'!$D$3:$D$3000,'DATA INPUT'!$A$3:$A$3000,"&gt;="&amp;DATE(2024,5,1),'DATA INPUT'!$A$3:$A$3000,"&lt;"&amp;DATE(2024,5,31),'DATA INPUT'!$G$3:$G$3000,"&lt;&gt;*School service*")=0,#N/A,(SUMIFS('DATA INPUT'!$D$3:$D$3000,'DATA INPUT'!$A$3:$A$3000,"&gt;="&amp;DATE(2024,5,1),'DATA INPUT'!$A$3:$A$3000,"&lt;"&amp;DATE(2024,5,31),'DATA INPUT'!$G$3:$G$3000,"&lt;&gt;*School service*"))),IF(SUMIFS('DATA INPUT'!$D$3:$D$3000,'DATA INPUT'!$A$3:$A$3000,"&gt;="&amp;DATE(2024,5,1),'DATA INPUT'!$A$3:$A$3000,"&lt;"&amp;DATE(2024,5,31),'DATA INPUT'!$F$3:$F$3000,"&lt;&gt;*Exclude*",'DATA INPUT'!$G$3:$G$3000,"&lt;&gt;*School service*")=0,#N/A,(SUMIFS('DATA INPUT'!$D$3:$D$3000,'DATA INPUT'!$A$3:$A$3000,"&gt;="&amp;DATE(2024,5,1),'DATA INPUT'!$A$3:$A$3000,"&lt;"&amp;DATE(2024,5,31),'DATA INPUT'!$F$3:$F$3000,"&lt;&gt;*Exclude*",'DATA INPUT'!$G$3:$G$3000,"&lt;&gt;*School service*"))))</f>
        <v>#N/A</v>
      </c>
      <c r="AK91" s="136" t="e">
        <f>AI91-AJ91</f>
        <v>#N/A</v>
      </c>
      <c r="AM91" s="117" t="e">
        <f>IF($L$2="Yes",IFERROR((SUMIFS('DATA INPUT'!$E$3:$E$3000,'DATA INPUT'!$B$3:$B$3000,'Report Tables'!AM$1,'DATA INPUT'!$A$3:$A$3000,"&gt;="&amp;DATE(2024,5,1),'DATA INPUT'!$A$3:$A$3000,"&lt;"&amp;DATE(2024,5,31)))/COUNTIFS('DATA INPUT'!$B$3:$B$3000,'Report Tables'!AM$1,'DATA INPUT'!$A$3:$A$3000,"&gt;="&amp;DATE(2024,5,1),'DATA INPUT'!$A$3:$A$3000,"&lt;"&amp;DATE(2024,5,31)),#N/A),IFERROR((SUMIFS('DATA INPUT'!$E$3:$E$3000,'DATA INPUT'!$B$3:$B$3000,'Report Tables'!AM$1,'DATA INPUT'!$A$3:$A$3000,"&gt;="&amp;DATE(2024,5,1),'DATA INPUT'!$A$3:$A$3000,"&lt;"&amp;DATE(2024,5,31),'DATA INPUT'!$F$3:$F$3000,"&lt;&gt;*Exclude*"))/(COUNTIFS('DATA INPUT'!$B$3:$B$3000,'Report Tables'!AM$1,'DATA INPUT'!$A$3:$A$3000,"&gt;="&amp;DATE(2024,5,1),'DATA INPUT'!$A$3:$A$3000,"&lt;"&amp;DATE(2024,5,31),'DATA INPUT'!$F$3:$F$3000,"&lt;&gt;*Exclude*")),#N/A))</f>
        <v>#N/A</v>
      </c>
      <c r="AN91" s="117" t="e">
        <f>IF($L$2="Yes",IFERROR((SUMIFS('DATA INPUT'!$E$3:$E$3000,'DATA INPUT'!$B$3:$B$3000,'Report Tables'!AN$1,'DATA INPUT'!$A$3:$A$3000,"&gt;="&amp;DATE(2024,5,1),'DATA INPUT'!$A$3:$A$3000,"&lt;"&amp;DATE(2024,5,31)))/COUNTIFS('DATA INPUT'!$B$3:$B$3000,'Report Tables'!AN$1,'DATA INPUT'!$A$3:$A$3000,"&gt;="&amp;DATE(2024,5,1),'DATA INPUT'!$A$3:$A$3000,"&lt;"&amp;DATE(2024,5,31)),#N/A),IFERROR((SUMIFS('DATA INPUT'!$E$3:$E$3000,'DATA INPUT'!$B$3:$B$3000,'Report Tables'!AN$1,'DATA INPUT'!$A$3:$A$3000,"&gt;="&amp;DATE(2024,5,1),'DATA INPUT'!$A$3:$A$3000,"&lt;"&amp;DATE(2024,5,31),'DATA INPUT'!$F$3:$F$3000,"&lt;&gt;*Exclude*"))/(COUNTIFS('DATA INPUT'!$B$3:$B$3000,'Report Tables'!AN$1,'DATA INPUT'!$A$3:$A$3000,"&gt;="&amp;DATE(2024,5,1),'DATA INPUT'!$A$3:$A$3000,"&lt;"&amp;DATE(2024,5,31),'DATA INPUT'!$F$3:$F$3000,"&lt;&gt;*Exclude*")),#N/A))</f>
        <v>#N/A</v>
      </c>
      <c r="AO91" s="117" t="e">
        <f>IF($L$2="Yes",IFERROR((SUMIFS('DATA INPUT'!$E$3:$E$3000,'DATA INPUT'!$B$3:$B$3000,'Report Tables'!AO$1,'DATA INPUT'!$A$3:$A$3000,"&gt;="&amp;DATE(2024,5,1),'DATA INPUT'!$A$3:$A$3000,"&lt;"&amp;DATE(2024,5,31)))/COUNTIFS('DATA INPUT'!$B$3:$B$3000,'Report Tables'!AO$1,'DATA INPUT'!$A$3:$A$3000,"&gt;="&amp;DATE(2024,5,1),'DATA INPUT'!$A$3:$A$3000,"&lt;"&amp;DATE(2024,5,31)),#N/A),IFERROR((SUMIFS('DATA INPUT'!$E$3:$E$3000,'DATA INPUT'!$B$3:$B$3000,'Report Tables'!AO$1,'DATA INPUT'!$A$3:$A$3000,"&gt;="&amp;DATE(2024,5,1),'DATA INPUT'!$A$3:$A$3000,"&lt;"&amp;DATE(2024,5,31),'DATA INPUT'!$F$3:$F$3000,"&lt;&gt;*Exclude*"))/(COUNTIFS('DATA INPUT'!$B$3:$B$3000,'Report Tables'!AO$1,'DATA INPUT'!$A$3:$A$3000,"&gt;="&amp;DATE(2024,5,1),'DATA INPUT'!$A$3:$A$3000,"&lt;"&amp;DATE(2024,5,31),'DATA INPUT'!$F$3:$F$3000,"&lt;&gt;*Exclude*")),#N/A))</f>
        <v>#N/A</v>
      </c>
      <c r="AP91" s="117" t="e">
        <f>IF($L$2="Yes",IFERROR((SUMIFS('DATA INPUT'!$E$3:$E$3000,'DATA INPUT'!$B$3:$B$3000,'Report Tables'!AP$1,'DATA INPUT'!$A$3:$A$3000,"&gt;="&amp;DATE(2024,5,1),'DATA INPUT'!$A$3:$A$3000,"&lt;"&amp;DATE(2024,5,31)))/COUNTIFS('DATA INPUT'!$B$3:$B$3000,'Report Tables'!AP$1,'DATA INPUT'!$A$3:$A$3000,"&gt;="&amp;DATE(2024,5,1),'DATA INPUT'!$A$3:$A$3000,"&lt;"&amp;DATE(2024,5,31)),#N/A),IFERROR((SUMIFS('DATA INPUT'!$E$3:$E$3000,'DATA INPUT'!$B$3:$B$3000,'Report Tables'!AP$1,'DATA INPUT'!$A$3:$A$3000,"&gt;="&amp;DATE(2024,5,1),'DATA INPUT'!$A$3:$A$3000,"&lt;"&amp;DATE(2024,5,31),'DATA INPUT'!$F$3:$F$3000,"&lt;&gt;*Exclude*"))/(COUNTIFS('DATA INPUT'!$B$3:$B$3000,'Report Tables'!AP$1,'DATA INPUT'!$A$3:$A$3000,"&gt;="&amp;DATE(2024,5,1),'DATA INPUT'!$A$3:$A$3000,"&lt;"&amp;DATE(2024,5,31),'DATA INPUT'!$F$3:$F$3000,"&lt;&gt;*Exclude*")),#N/A))</f>
        <v>#N/A</v>
      </c>
      <c r="AQ91" s="117" t="e">
        <f>IF($L$2="Yes",IFERROR((SUMIFS('DATA INPUT'!$E$3:$E$3000,'DATA INPUT'!$B$3:$B$3000,'Report Tables'!AQ$1,'DATA INPUT'!$A$3:$A$3000,"&gt;="&amp;DATE(2024,5,1),'DATA INPUT'!$A$3:$A$3000,"&lt;"&amp;DATE(2024,5,31)))/COUNTIFS('DATA INPUT'!$B$3:$B$3000,'Report Tables'!AQ$1,'DATA INPUT'!$A$3:$A$3000,"&gt;="&amp;DATE(2024,5,1),'DATA INPUT'!$A$3:$A$3000,"&lt;"&amp;DATE(2024,5,31)),#N/A),IFERROR((SUMIFS('DATA INPUT'!$E$3:$E$3000,'DATA INPUT'!$B$3:$B$3000,'Report Tables'!AQ$1,'DATA INPUT'!$A$3:$A$3000,"&gt;="&amp;DATE(2024,5,1),'DATA INPUT'!$A$3:$A$3000,"&lt;"&amp;DATE(2024,5,31),'DATA INPUT'!$F$3:$F$3000,"&lt;&gt;*Exclude*"))/(COUNTIFS('DATA INPUT'!$B$3:$B$3000,'Report Tables'!AQ$1,'DATA INPUT'!$A$3:$A$3000,"&gt;="&amp;DATE(2024,5,1),'DATA INPUT'!$A$3:$A$3000,"&lt;"&amp;DATE(2024,5,31),'DATA INPUT'!$F$3:$F$3000,"&lt;&gt;*Exclude*")),#N/A))</f>
        <v>#N/A</v>
      </c>
      <c r="AR91" s="117" t="e">
        <f>IF($L$2="Yes",IFERROR((SUMIFS('DATA INPUT'!$E$3:$E$3000,'DATA INPUT'!$B$3:$B$3000,'Report Tables'!AR$1,'DATA INPUT'!$A$3:$A$3000,"&gt;="&amp;DATE(2024,5,1),'DATA INPUT'!$A$3:$A$3000,"&lt;"&amp;DATE(2024,5,31)))/COUNTIFS('DATA INPUT'!$B$3:$B$3000,'Report Tables'!AR$1,'DATA INPUT'!$A$3:$A$3000,"&gt;="&amp;DATE(2024,5,1),'DATA INPUT'!$A$3:$A$3000,"&lt;"&amp;DATE(2024,5,31)),#N/A),IFERROR((SUMIFS('DATA INPUT'!$E$3:$E$3000,'DATA INPUT'!$B$3:$B$3000,'Report Tables'!AR$1,'DATA INPUT'!$A$3:$A$3000,"&gt;="&amp;DATE(2024,5,1),'DATA INPUT'!$A$3:$A$3000,"&lt;"&amp;DATE(2024,5,31),'DATA INPUT'!$F$3:$F$3000,"&lt;&gt;*Exclude*"))/(COUNTIFS('DATA INPUT'!$B$3:$B$3000,'Report Tables'!AR$1,'DATA INPUT'!$A$3:$A$3000,"&gt;="&amp;DATE(2024,5,1),'DATA INPUT'!$A$3:$A$3000,"&lt;"&amp;DATE(2024,5,31),'DATA INPUT'!$F$3:$F$3000,"&lt;&gt;*Exclude*")),#N/A))</f>
        <v>#N/A</v>
      </c>
      <c r="AS91" s="117" t="e">
        <f>IF($L$2="Yes",IFERROR((SUMIFS('DATA INPUT'!$E$3:$E$3000,'DATA INPUT'!$B$3:$B$3000,'Report Tables'!AS$1,'DATA INPUT'!$A$3:$A$3000,"&gt;="&amp;DATE(2024,5,1),'DATA INPUT'!$A$3:$A$3000,"&lt;"&amp;DATE(2024,5,31)))/COUNTIFS('DATA INPUT'!$B$3:$B$3000,'Report Tables'!AS$1,'DATA INPUT'!$A$3:$A$3000,"&gt;="&amp;DATE(2024,5,1),'DATA INPUT'!$A$3:$A$3000,"&lt;"&amp;DATE(2024,5,31)),#N/A),IFERROR((SUMIFS('DATA INPUT'!$E$3:$E$3000,'DATA INPUT'!$B$3:$B$3000,'Report Tables'!AS$1,'DATA INPUT'!$A$3:$A$3000,"&gt;="&amp;DATE(2024,5,1),'DATA INPUT'!$A$3:$A$3000,"&lt;"&amp;DATE(2024,5,31),'DATA INPUT'!$F$3:$F$3000,"&lt;&gt;*Exclude*"))/(COUNTIFS('DATA INPUT'!$B$3:$B$3000,'Report Tables'!AS$1,'DATA INPUT'!$A$3:$A$3000,"&gt;="&amp;DATE(2024,5,1),'DATA INPUT'!$A$3:$A$3000,"&lt;"&amp;DATE(2024,5,31),'DATA INPUT'!$F$3:$F$3000,"&lt;&gt;*Exclude*")),#N/A))</f>
        <v>#N/A</v>
      </c>
      <c r="AT91" s="117" t="e">
        <f>IF($L$2="Yes",IFERROR((SUMIFS('DATA INPUT'!$E$3:$E$3000,'DATA INPUT'!$B$3:$B$3000,'Report Tables'!AT$1,'DATA INPUT'!$A$3:$A$3000,"&gt;="&amp;DATE(2024,5,1),'DATA INPUT'!$A$3:$A$3000,"&lt;"&amp;DATE(2024,5,31)))/COUNTIFS('DATA INPUT'!$B$3:$B$3000,'Report Tables'!AT$1,'DATA INPUT'!$A$3:$A$3000,"&gt;="&amp;DATE(2024,5,1),'DATA INPUT'!$A$3:$A$3000,"&lt;"&amp;DATE(2024,5,31)),#N/A),IFERROR((SUMIFS('DATA INPUT'!$E$3:$E$3000,'DATA INPUT'!$B$3:$B$3000,'Report Tables'!AT$1,'DATA INPUT'!$A$3:$A$3000,"&gt;="&amp;DATE(2024,5,1),'DATA INPUT'!$A$3:$A$3000,"&lt;"&amp;DATE(2024,5,31),'DATA INPUT'!$F$3:$F$3000,"&lt;&gt;*Exclude*"))/(COUNTIFS('DATA INPUT'!$B$3:$B$3000,'Report Tables'!AT$1,'DATA INPUT'!$A$3:$A$3000,"&gt;="&amp;DATE(2024,5,1),'DATA INPUT'!$A$3:$A$3000,"&lt;"&amp;DATE(2024,5,31),'DATA INPUT'!$F$3:$F$3000,"&lt;&gt;*Exclude*")),#N/A))</f>
        <v>#N/A</v>
      </c>
      <c r="AU91" s="117" t="e">
        <f t="shared" si="24"/>
        <v>#N/A</v>
      </c>
      <c r="AV91" s="117" t="e">
        <f>IF($L$2="Yes",IFERROR((SUMIFS('DATA INPUT'!$D$3:$D$3000,'DATA INPUT'!$A$3:$A$3000,"&gt;="&amp;DATE(2024,5,1),'DATA INPUT'!$A$3:$A$3000,"&lt;"&amp;DATE(2024,5,31),'DATA INPUT'!$G$3:$G$3000,"&lt;&gt;*School service*"))/COUNTIFS('DATA INPUT'!$A$3:$A$3000,"&gt;="&amp;DATE(2024,5,1),'DATA INPUT'!$A$3:$A$3000,"&lt;"&amp;DATE(2024,5,31),'DATA INPUT'!$G$3:$G$3000,"&lt;&gt;*School service*",'DATA INPUT'!$D$3:$D$3000,"&lt;&gt;"&amp;""),#N/A),IFERROR((SUMIFS('DATA INPUT'!$D$3:$D$3000,'DATA INPUT'!$A$3:$A$3000,"&gt;="&amp;DATE(2024,5,1),'DATA INPUT'!$A$3:$A$3000,"&lt;"&amp;DATE(2024,5,31),'DATA INPUT'!$F$3:$F$3000,"&lt;&gt;*Exclude*",'DATA INPUT'!$G$3:$G$3000,"&lt;&gt;*School service*"))/(COUNTIFS('DATA INPUT'!$A$3:$A$3000,"&gt;="&amp;DATE(2024,5,1),'DATA INPUT'!$A$3:$A$3000,"&lt;"&amp;DATE(2024,5,31),'DATA INPUT'!$F$3:$F$3000,"&lt;&gt;*Exclude*",'DATA INPUT'!$G$3:$G$3000,"&lt;&gt;*School service*",'DATA INPUT'!$D$3:$D$3000,"&lt;&gt;"&amp;"")),#N/A))</f>
        <v>#N/A</v>
      </c>
      <c r="AW91" s="117" t="e">
        <f t="shared" si="25"/>
        <v>#N/A</v>
      </c>
      <c r="AX91" s="117" t="e">
        <f>IF($L$2="Yes",IFERROR((SUMIFS('DATA INPUT'!$E$3:$E$3000,'DATA INPUT'!$B$3:$B$3000,'Report Tables'!AX$1,'DATA INPUT'!$A$3:$A$3000,"&gt;="&amp;DATE(2024,5,1),'DATA INPUT'!$A$3:$A$3000,"&lt;"&amp;DATE(2024,5,31)))/COUNTIFS('DATA INPUT'!$B$3:$B$3000,'Report Tables'!AX$1,'DATA INPUT'!$A$3:$A$3000,"&gt;="&amp;DATE(2024,5,1),'DATA INPUT'!$A$3:$A$3000,"&lt;"&amp;DATE(2024,5,31)),#N/A),IFERROR((SUMIFS('DATA INPUT'!$E$3:$E$3000,'DATA INPUT'!$B$3:$B$3000,'Report Tables'!AX$1,'DATA INPUT'!$A$3:$A$3000,"&gt;="&amp;DATE(2024,5,1),'DATA INPUT'!$A$3:$A$3000,"&lt;"&amp;DATE(2024,5,31),'DATA INPUT'!$F$3:$F$3000,"&lt;&gt;*Exclude*"))/(COUNTIFS('DATA INPUT'!$B$3:$B$3000,'Report Tables'!AX$1,'DATA INPUT'!$A$3:$A$3000,"&gt;="&amp;DATE(2024,5,1),'DATA INPUT'!$A$3:$A$3000,"&lt;"&amp;DATE(2024,5,31),'DATA INPUT'!$F$3:$F$3000,"&lt;&gt;*Exclude*")),#N/A))</f>
        <v>#N/A</v>
      </c>
      <c r="AY91" s="117" t="e">
        <f>IF($L$2="Yes",IFERROR((SUMIFS('DATA INPUT'!$D$3:$D$3000,'DATA INPUT'!$B$3:$B$3000,'Report Tables'!AX$1,'DATA INPUT'!$A$3:$A$3000,"&gt;="&amp;DATE(2024,5,1),'DATA INPUT'!$A$3:$A$3000,"&lt;"&amp;DATE(2024,5,31)))/COUNTIFS('DATA INPUT'!$B$3:$B$3000,'Report Tables'!AX$1,'DATA INPUT'!$A$3:$A$3000,"&gt;="&amp;DATE(2024,5,1),'DATA INPUT'!$A$3:$A$3000,"&lt;"&amp;DATE(2024,5,31)),#N/A),IFERROR((SUMIFS('DATA INPUT'!$D$3:$D$3000,'DATA INPUT'!$B$3:$B$3000,'Report Tables'!AX$1,'DATA INPUT'!$A$3:$A$3000,"&gt;="&amp;DATE(2024,5,1),'DATA INPUT'!$A$3:$A$3000,"&lt;"&amp;DATE(2024,5,31),'DATA INPUT'!$F$3:$F$3000,"&lt;&gt;*Exclude*"))/(COUNTIFS('DATA INPUT'!$B$3:$B$3000,'Report Tables'!AX$1,'DATA INPUT'!$A$3:$A$3000,"&gt;="&amp;DATE(2024,5,1),'DATA INPUT'!$A$3:$A$3000,"&lt;"&amp;DATE(2024,5,31),'DATA INPUT'!$F$3:$F$3000,"&lt;&gt;*Exclude*")),#N/A))</f>
        <v>#N/A</v>
      </c>
      <c r="AZ91" s="117" t="e">
        <f>IF($L$2="Yes",IFERROR((SUMIFS('DATA INPUT'!$C$3:$C$3000,'DATA INPUT'!$B$3:$B$3000,'Report Tables'!AX$1,'DATA INPUT'!$A$3:$A$3000,"&gt;="&amp;DATE(2024,5,1),'DATA INPUT'!$A$3:$A$3000,"&lt;"&amp;DATE(2024,5,31)))/COUNTIFS('DATA INPUT'!$B$3:$B$3000,'Report Tables'!AX$1,'DATA INPUT'!$A$3:$A$3000,"&gt;="&amp;DATE(2024,5,1),'DATA INPUT'!$A$3:$A$3000,"&lt;"&amp;DATE(2024,5,31)),#N/A),IFERROR((SUMIFS('DATA INPUT'!$C$3:$C$3000,'DATA INPUT'!$B$3:$B$3000,'Report Tables'!AX$1,'DATA INPUT'!$A$3:$A$3000,"&gt;="&amp;DATE(2024,5,1),'DATA INPUT'!$A$3:$A$3000,"&lt;"&amp;DATE(2024,5,31),'DATA INPUT'!$F$3:$F$3000,"&lt;&gt;*Exclude*"))/(COUNTIFS('DATA INPUT'!$B$3:$B$3000,'Report Tables'!AX$1,'DATA INPUT'!$A$3:$A$3000,"&gt;="&amp;DATE(2024,5,1),'DATA INPUT'!$A$3:$A$3000,"&lt;"&amp;DATE(2024,5,31),'DATA INPUT'!$F$3:$F$3000,"&lt;&gt;*Exclude*")),#N/A))</f>
        <v>#N/A</v>
      </c>
    </row>
    <row r="92" spans="25:52" x14ac:dyDescent="0.3">
      <c r="Y92" s="149"/>
      <c r="Z92" s="149" t="s">
        <v>17</v>
      </c>
      <c r="AA92" s="136" t="e">
        <f>IF($L$2="Yes",IF(SUMIFS('DATA INPUT'!$E$3:$E$3000,'DATA INPUT'!$B$3:$B$3000,'Report Tables'!AA$1,'DATA INPUT'!$A$3:$A$3000,"&gt;="&amp;DATE(2024,6,1),'DATA INPUT'!$A$3:$A$3000,"&lt;"&amp;DATE(2024,6,31))=0,#N/A,(SUMIFS('DATA INPUT'!$E$3:$E$3000,'DATA INPUT'!$B$3:$B$3000,'Report Tables'!AA$1,'DATA INPUT'!$A$3:$A$3000,"&gt;="&amp;DATE(2024,6,1),'DATA INPUT'!$A$3:$A$3000,"&lt;"&amp;DATE(2024,6,31)))),IF(SUMIFS('DATA INPUT'!$E$3:$E$3000,'DATA INPUT'!$B$3:$B$3000,'Report Tables'!AA$1,'DATA INPUT'!$A$3:$A$3000,"&gt;="&amp;DATE(2024,6,1),'DATA INPUT'!$A$3:$A$3000,"&lt;"&amp;DATE(2024,6,31),'DATA INPUT'!$F$3:$F$3000,"&lt;&gt;*Exclude*")=0,#N/A,(SUMIFS('DATA INPUT'!$E$3:$E$3000,'DATA INPUT'!$B$3:$B$3000,'Report Tables'!AA$1,'DATA INPUT'!$A$3:$A$3000,"&gt;="&amp;DATE(2024,6,1),'DATA INPUT'!$A$3:$A$3000,"&lt;"&amp;DATE(2024,6,31),'DATA INPUT'!$F$3:$F$3000,"&lt;&gt;*Exclude*"))))</f>
        <v>#N/A</v>
      </c>
      <c r="AB92" s="136" t="e">
        <f>IF($L$2="Yes",IF(SUMIFS('DATA INPUT'!$E$3:$E$3000,'DATA INPUT'!$B$3:$B$3000,'Report Tables'!AB$1,'DATA INPUT'!$A$3:$A$3000,"&gt;="&amp;DATE(2024,6,1),'DATA INPUT'!$A$3:$A$3000,"&lt;"&amp;DATE(2024,6,31))=0,#N/A,(SUMIFS('DATA INPUT'!$E$3:$E$3000,'DATA INPUT'!$B$3:$B$3000,'Report Tables'!AB$1,'DATA INPUT'!$A$3:$A$3000,"&gt;="&amp;DATE(2024,6,1),'DATA INPUT'!$A$3:$A$3000,"&lt;"&amp;DATE(2024,6,31)))),IF(SUMIFS('DATA INPUT'!$E$3:$E$3000,'DATA INPUT'!$B$3:$B$3000,'Report Tables'!AB$1,'DATA INPUT'!$A$3:$A$3000,"&gt;="&amp;DATE(2024,6,1),'DATA INPUT'!$A$3:$A$3000,"&lt;"&amp;DATE(2024,6,31),'DATA INPUT'!$F$3:$F$3000,"&lt;&gt;*Exclude*")=0,#N/A,(SUMIFS('DATA INPUT'!$E$3:$E$3000,'DATA INPUT'!$B$3:$B$3000,'Report Tables'!AB$1,'DATA INPUT'!$A$3:$A$3000,"&gt;="&amp;DATE(2024,6,1),'DATA INPUT'!$A$3:$A$3000,"&lt;"&amp;DATE(2024,6,31),'DATA INPUT'!$F$3:$F$3000,"&lt;&gt;*Exclude*"))))</f>
        <v>#N/A</v>
      </c>
      <c r="AC92" s="136" t="e">
        <f>IF($L$2="Yes",IF(SUMIFS('DATA INPUT'!$E$3:$E$3000,'DATA INPUT'!$B$3:$B$3000,'Report Tables'!AC$1,'DATA INPUT'!$A$3:$A$3000,"&gt;="&amp;DATE(2024,6,1),'DATA INPUT'!$A$3:$A$3000,"&lt;"&amp;DATE(2024,6,31))=0,#N/A,(SUMIFS('DATA INPUT'!$E$3:$E$3000,'DATA INPUT'!$B$3:$B$3000,'Report Tables'!AC$1,'DATA INPUT'!$A$3:$A$3000,"&gt;="&amp;DATE(2024,6,1),'DATA INPUT'!$A$3:$A$3000,"&lt;"&amp;DATE(2024,6,31)))),IF(SUMIFS('DATA INPUT'!$E$3:$E$3000,'DATA INPUT'!$B$3:$B$3000,'Report Tables'!AC$1,'DATA INPUT'!$A$3:$A$3000,"&gt;="&amp;DATE(2024,6,1),'DATA INPUT'!$A$3:$A$3000,"&lt;"&amp;DATE(2024,6,31),'DATA INPUT'!$F$3:$F$3000,"&lt;&gt;*Exclude*")=0,#N/A,(SUMIFS('DATA INPUT'!$E$3:$E$3000,'DATA INPUT'!$B$3:$B$3000,'Report Tables'!AC$1,'DATA INPUT'!$A$3:$A$3000,"&gt;="&amp;DATE(2024,6,1),'DATA INPUT'!$A$3:$A$3000,"&lt;"&amp;DATE(2024,6,31),'DATA INPUT'!$F$3:$F$3000,"&lt;&gt;*Exclude*"))))</f>
        <v>#N/A</v>
      </c>
      <c r="AD92" s="136" t="e">
        <f>IF($L$2="Yes",IF(SUMIFS('DATA INPUT'!$E$3:$E$3000,'DATA INPUT'!$B$3:$B$3000,'Report Tables'!AD$1,'DATA INPUT'!$A$3:$A$3000,"&gt;="&amp;DATE(2024,6,1),'DATA INPUT'!$A$3:$A$3000,"&lt;"&amp;DATE(2024,6,31))=0,#N/A,(SUMIFS('DATA INPUT'!$E$3:$E$3000,'DATA INPUT'!$B$3:$B$3000,'Report Tables'!AD$1,'DATA INPUT'!$A$3:$A$3000,"&gt;="&amp;DATE(2024,6,1),'DATA INPUT'!$A$3:$A$3000,"&lt;"&amp;DATE(2024,6,31)))),IF(SUMIFS('DATA INPUT'!$E$3:$E$3000,'DATA INPUT'!$B$3:$B$3000,'Report Tables'!AD$1,'DATA INPUT'!$A$3:$A$3000,"&gt;="&amp;DATE(2024,6,1),'DATA INPUT'!$A$3:$A$3000,"&lt;"&amp;DATE(2024,6,31),'DATA INPUT'!$F$3:$F$3000,"&lt;&gt;*Exclude*")=0,#N/A,(SUMIFS('DATA INPUT'!$E$3:$E$3000,'DATA INPUT'!$B$3:$B$3000,'Report Tables'!AD$1,'DATA INPUT'!$A$3:$A$3000,"&gt;="&amp;DATE(2024,6,1),'DATA INPUT'!$A$3:$A$3000,"&lt;"&amp;DATE(2024,6,31),'DATA INPUT'!$F$3:$F$3000,"&lt;&gt;*Exclude*"))))</f>
        <v>#N/A</v>
      </c>
      <c r="AE92" s="136" t="e">
        <f>IF($L$2="Yes",IF(SUMIFS('DATA INPUT'!$E$3:$E$3000,'DATA INPUT'!$B$3:$B$3000,'Report Tables'!AE$1,'DATA INPUT'!$A$3:$A$3000,"&gt;="&amp;DATE(2024,6,1),'DATA INPUT'!$A$3:$A$3000,"&lt;"&amp;DATE(2024,6,31))=0,#N/A,(SUMIFS('DATA INPUT'!$E$3:$E$3000,'DATA INPUT'!$B$3:$B$3000,'Report Tables'!AE$1,'DATA INPUT'!$A$3:$A$3000,"&gt;="&amp;DATE(2024,6,1),'DATA INPUT'!$A$3:$A$3000,"&lt;"&amp;DATE(2024,6,31)))),IF(SUMIFS('DATA INPUT'!$E$3:$E$3000,'DATA INPUT'!$B$3:$B$3000,'Report Tables'!AE$1,'DATA INPUT'!$A$3:$A$3000,"&gt;="&amp;DATE(2024,6,1),'DATA INPUT'!$A$3:$A$3000,"&lt;"&amp;DATE(2024,6,31),'DATA INPUT'!$F$3:$F$3000,"&lt;&gt;*Exclude*")=0,#N/A,(SUMIFS('DATA INPUT'!$E$3:$E$3000,'DATA INPUT'!$B$3:$B$3000,'Report Tables'!AE$1,'DATA INPUT'!$A$3:$A$3000,"&gt;="&amp;DATE(2024,6,1),'DATA INPUT'!$A$3:$A$3000,"&lt;"&amp;DATE(2024,6,31),'DATA INPUT'!$F$3:$F$3000,"&lt;&gt;*Exclude*"))))</f>
        <v>#N/A</v>
      </c>
      <c r="AF92" s="136" t="e">
        <f>IF($L$2="Yes",IF(SUMIFS('DATA INPUT'!$E$3:$E$3000,'DATA INPUT'!$B$3:$B$3000,'Report Tables'!AF$1,'DATA INPUT'!$A$3:$A$3000,"&gt;="&amp;DATE(2024,6,1),'DATA INPUT'!$A$3:$A$3000,"&lt;"&amp;DATE(2024,6,31))=0,#N/A,(SUMIFS('DATA INPUT'!$E$3:$E$3000,'DATA INPUT'!$B$3:$B$3000,'Report Tables'!AF$1,'DATA INPUT'!$A$3:$A$3000,"&gt;="&amp;DATE(2024,6,1),'DATA INPUT'!$A$3:$A$3000,"&lt;"&amp;DATE(2024,6,31)))),IF(SUMIFS('DATA INPUT'!$E$3:$E$3000,'DATA INPUT'!$B$3:$B$3000,'Report Tables'!AF$1,'DATA INPUT'!$A$3:$A$3000,"&gt;="&amp;DATE(2024,6,1),'DATA INPUT'!$A$3:$A$3000,"&lt;"&amp;DATE(2024,6,31),'DATA INPUT'!$F$3:$F$3000,"&lt;&gt;*Exclude*")=0,#N/A,(SUMIFS('DATA INPUT'!$E$3:$E$3000,'DATA INPUT'!$B$3:$B$3000,'Report Tables'!AF$1,'DATA INPUT'!$A$3:$A$3000,"&gt;="&amp;DATE(2024,6,1),'DATA INPUT'!$A$3:$A$3000,"&lt;"&amp;DATE(2024,6,31),'DATA INPUT'!$F$3:$F$3000,"&lt;&gt;*Exclude*"))))</f>
        <v>#N/A</v>
      </c>
      <c r="AG92" s="136" t="e">
        <f>IF($L$2="Yes",IF(SUMIFS('DATA INPUT'!$E$3:$E$3000,'DATA INPUT'!$B$3:$B$3000,'Report Tables'!AG$1,'DATA INPUT'!$A$3:$A$3000,"&gt;="&amp;DATE(2024,6,1),'DATA INPUT'!$A$3:$A$3000,"&lt;"&amp;DATE(2024,6,31))=0,#N/A,(SUMIFS('DATA INPUT'!$E$3:$E$3000,'DATA INPUT'!$B$3:$B$3000,'Report Tables'!AG$1,'DATA INPUT'!$A$3:$A$3000,"&gt;="&amp;DATE(2024,6,1),'DATA INPUT'!$A$3:$A$3000,"&lt;"&amp;DATE(2024,6,31)))),IF(SUMIFS('DATA INPUT'!$E$3:$E$3000,'DATA INPUT'!$B$3:$B$3000,'Report Tables'!AG$1,'DATA INPUT'!$A$3:$A$3000,"&gt;="&amp;DATE(2024,6,1),'DATA INPUT'!$A$3:$A$3000,"&lt;"&amp;DATE(2024,6,31),'DATA INPUT'!$F$3:$F$3000,"&lt;&gt;*Exclude*")=0,#N/A,(SUMIFS('DATA INPUT'!$E$3:$E$3000,'DATA INPUT'!$B$3:$B$3000,'Report Tables'!AG$1,'DATA INPUT'!$A$3:$A$3000,"&gt;="&amp;DATE(2024,6,1),'DATA INPUT'!$A$3:$A$3000,"&lt;"&amp;DATE(2024,6,31),'DATA INPUT'!$F$3:$F$3000,"&lt;&gt;*Exclude*"))))</f>
        <v>#N/A</v>
      </c>
      <c r="AH92" s="136" t="e">
        <f>IF($L$2="Yes",IF(SUMIFS('DATA INPUT'!$E$3:$E$3000,'DATA INPUT'!$B$3:$B$3000,'Report Tables'!AH$1,'DATA INPUT'!$A$3:$A$3000,"&gt;="&amp;DATE(2024,6,1),'DATA INPUT'!$A$3:$A$3000,"&lt;"&amp;DATE(2024,6,31))=0,#N/A,(SUMIFS('DATA INPUT'!$E$3:$E$3000,'DATA INPUT'!$B$3:$B$3000,'Report Tables'!AH$1,'DATA INPUT'!$A$3:$A$3000,"&gt;="&amp;DATE(2024,6,1),'DATA INPUT'!$A$3:$A$3000,"&lt;"&amp;DATE(2024,6,31)))),IF(SUMIFS('DATA INPUT'!$E$3:$E$3000,'DATA INPUT'!$B$3:$B$3000,'Report Tables'!AH$1,'DATA INPUT'!$A$3:$A$3000,"&gt;="&amp;DATE(2024,6,1),'DATA INPUT'!$A$3:$A$3000,"&lt;"&amp;DATE(2024,6,31),'DATA INPUT'!$F$3:$F$3000,"&lt;&gt;*Exclude*")=0,#N/A,(SUMIFS('DATA INPUT'!$E$3:$E$3000,'DATA INPUT'!$B$3:$B$3000,'Report Tables'!AH$1,'DATA INPUT'!$A$3:$A$3000,"&gt;="&amp;DATE(2024,6,1),'DATA INPUT'!$A$3:$A$3000,"&lt;"&amp;DATE(2024,6,31),'DATA INPUT'!$F$3:$F$3000,"&lt;&gt;*Exclude*"))))</f>
        <v>#N/A</v>
      </c>
      <c r="AI92" s="136" t="e">
        <f t="shared" si="23"/>
        <v>#N/A</v>
      </c>
      <c r="AJ92" s="136" t="e">
        <f>IF($L$2="Yes",IF(SUMIFS('DATA INPUT'!$D$3:$D$3000,'DATA INPUT'!$A$3:$A$3000,"&gt;="&amp;DATE(2024,6,1),'DATA INPUT'!$A$3:$A$3000,"&lt;"&amp;DATE(2024,6,31),'DATA INPUT'!$G$3:$G$3000,"&lt;&gt;*School service*")=0,#N/A,(SUMIFS('DATA INPUT'!$D$3:$D$3000,'DATA INPUT'!$A$3:$A$3000,"&gt;="&amp;DATE(2024,6,1),'DATA INPUT'!$A$3:$A$3000,"&lt;"&amp;DATE(2024,6,31),'DATA INPUT'!$G$3:$G$3000,"&lt;&gt;*School service*"))),IF(SUMIFS('DATA INPUT'!$D$3:$D$3000,'DATA INPUT'!$A$3:$A$3000,"&gt;="&amp;DATE(2024,6,1),'DATA INPUT'!$A$3:$A$3000,"&lt;"&amp;DATE(2024,6,31),'DATA INPUT'!$F$3:$F$3000,"&lt;&gt;*Exclude*",'DATA INPUT'!$G$3:$G$3000,"&lt;&gt;*School service*")=0,#N/A,(SUMIFS('DATA INPUT'!$D$3:$D$3000,'DATA INPUT'!$A$3:$A$3000,"&gt;="&amp;DATE(2024,6,1),'DATA INPUT'!$A$3:$A$3000,"&lt;"&amp;DATE(2024,6,31),'DATA INPUT'!$F$3:$F$3000,"&lt;&gt;*Exclude*",'DATA INPUT'!$G$3:$G$3000,"&lt;&gt;*School service*"))))</f>
        <v>#N/A</v>
      </c>
      <c r="AK92" s="136" t="e">
        <f>AI92-AJ92</f>
        <v>#N/A</v>
      </c>
      <c r="AM92" s="117" t="e">
        <f>IF($L$2="Yes",IFERROR((SUMIFS('DATA INPUT'!$E$3:$E$3000,'DATA INPUT'!$B$3:$B$3000,'Report Tables'!AM$1,'DATA INPUT'!$A$3:$A$3000,"&gt;="&amp;DATE(2024,6,1),'DATA INPUT'!$A$3:$A$3000,"&lt;"&amp;DATE(2024,6,31)))/COUNTIFS('DATA INPUT'!$B$3:$B$3000,'Report Tables'!AM$1,'DATA INPUT'!$A$3:$A$3000,"&gt;="&amp;DATE(2024,6,1),'DATA INPUT'!$A$3:$A$3000,"&lt;"&amp;DATE(2024,6,31)),#N/A),IFERROR((SUMIFS('DATA INPUT'!$E$3:$E$3000,'DATA INPUT'!$B$3:$B$3000,'Report Tables'!AM$1,'DATA INPUT'!$A$3:$A$3000,"&gt;="&amp;DATE(2024,6,1),'DATA INPUT'!$A$3:$A$3000,"&lt;"&amp;DATE(2024,6,31),'DATA INPUT'!$F$3:$F$3000,"&lt;&gt;*Exclude*"))/(COUNTIFS('DATA INPUT'!$B$3:$B$3000,'Report Tables'!AM$1,'DATA INPUT'!$A$3:$A$3000,"&gt;="&amp;DATE(2024,6,1),'DATA INPUT'!$A$3:$A$3000,"&lt;"&amp;DATE(2024,6,31),'DATA INPUT'!$F$3:$F$3000,"&lt;&gt;*Exclude*")),#N/A))</f>
        <v>#N/A</v>
      </c>
      <c r="AN92" s="117" t="e">
        <f>IF($L$2="Yes",IFERROR((SUMIFS('DATA INPUT'!$E$3:$E$3000,'DATA INPUT'!$B$3:$B$3000,'Report Tables'!AN$1,'DATA INPUT'!$A$3:$A$3000,"&gt;="&amp;DATE(2024,6,1),'DATA INPUT'!$A$3:$A$3000,"&lt;"&amp;DATE(2024,6,31)))/COUNTIFS('DATA INPUT'!$B$3:$B$3000,'Report Tables'!AN$1,'DATA INPUT'!$A$3:$A$3000,"&gt;="&amp;DATE(2024,6,1),'DATA INPUT'!$A$3:$A$3000,"&lt;"&amp;DATE(2024,6,31)),#N/A),IFERROR((SUMIFS('DATA INPUT'!$E$3:$E$3000,'DATA INPUT'!$B$3:$B$3000,'Report Tables'!AN$1,'DATA INPUT'!$A$3:$A$3000,"&gt;="&amp;DATE(2024,6,1),'DATA INPUT'!$A$3:$A$3000,"&lt;"&amp;DATE(2024,6,31),'DATA INPUT'!$F$3:$F$3000,"&lt;&gt;*Exclude*"))/(COUNTIFS('DATA INPUT'!$B$3:$B$3000,'Report Tables'!AN$1,'DATA INPUT'!$A$3:$A$3000,"&gt;="&amp;DATE(2024,6,1),'DATA INPUT'!$A$3:$A$3000,"&lt;"&amp;DATE(2024,6,31),'DATA INPUT'!$F$3:$F$3000,"&lt;&gt;*Exclude*")),#N/A))</f>
        <v>#N/A</v>
      </c>
      <c r="AO92" s="117" t="e">
        <f>IF($L$2="Yes",IFERROR((SUMIFS('DATA INPUT'!$E$3:$E$3000,'DATA INPUT'!$B$3:$B$3000,'Report Tables'!AO$1,'DATA INPUT'!$A$3:$A$3000,"&gt;="&amp;DATE(2024,6,1),'DATA INPUT'!$A$3:$A$3000,"&lt;"&amp;DATE(2024,6,31)))/COUNTIFS('DATA INPUT'!$B$3:$B$3000,'Report Tables'!AO$1,'DATA INPUT'!$A$3:$A$3000,"&gt;="&amp;DATE(2024,6,1),'DATA INPUT'!$A$3:$A$3000,"&lt;"&amp;DATE(2024,6,31)),#N/A),IFERROR((SUMIFS('DATA INPUT'!$E$3:$E$3000,'DATA INPUT'!$B$3:$B$3000,'Report Tables'!AO$1,'DATA INPUT'!$A$3:$A$3000,"&gt;="&amp;DATE(2024,6,1),'DATA INPUT'!$A$3:$A$3000,"&lt;"&amp;DATE(2024,6,31),'DATA INPUT'!$F$3:$F$3000,"&lt;&gt;*Exclude*"))/(COUNTIFS('DATA INPUT'!$B$3:$B$3000,'Report Tables'!AO$1,'DATA INPUT'!$A$3:$A$3000,"&gt;="&amp;DATE(2024,6,1),'DATA INPUT'!$A$3:$A$3000,"&lt;"&amp;DATE(2024,6,31),'DATA INPUT'!$F$3:$F$3000,"&lt;&gt;*Exclude*")),#N/A))</f>
        <v>#N/A</v>
      </c>
      <c r="AP92" s="117" t="e">
        <f>IF($L$2="Yes",IFERROR((SUMIFS('DATA INPUT'!$E$3:$E$3000,'DATA INPUT'!$B$3:$B$3000,'Report Tables'!AP$1,'DATA INPUT'!$A$3:$A$3000,"&gt;="&amp;DATE(2024,6,1),'DATA INPUT'!$A$3:$A$3000,"&lt;"&amp;DATE(2024,6,31)))/COUNTIFS('DATA INPUT'!$B$3:$B$3000,'Report Tables'!AP$1,'DATA INPUT'!$A$3:$A$3000,"&gt;="&amp;DATE(2024,6,1),'DATA INPUT'!$A$3:$A$3000,"&lt;"&amp;DATE(2024,6,31)),#N/A),IFERROR((SUMIFS('DATA INPUT'!$E$3:$E$3000,'DATA INPUT'!$B$3:$B$3000,'Report Tables'!AP$1,'DATA INPUT'!$A$3:$A$3000,"&gt;="&amp;DATE(2024,6,1),'DATA INPUT'!$A$3:$A$3000,"&lt;"&amp;DATE(2024,6,31),'DATA INPUT'!$F$3:$F$3000,"&lt;&gt;*Exclude*"))/(COUNTIFS('DATA INPUT'!$B$3:$B$3000,'Report Tables'!AP$1,'DATA INPUT'!$A$3:$A$3000,"&gt;="&amp;DATE(2024,6,1),'DATA INPUT'!$A$3:$A$3000,"&lt;"&amp;DATE(2024,6,31),'DATA INPUT'!$F$3:$F$3000,"&lt;&gt;*Exclude*")),#N/A))</f>
        <v>#N/A</v>
      </c>
      <c r="AQ92" s="117" t="e">
        <f>IF($L$2="Yes",IFERROR((SUMIFS('DATA INPUT'!$E$3:$E$3000,'DATA INPUT'!$B$3:$B$3000,'Report Tables'!AQ$1,'DATA INPUT'!$A$3:$A$3000,"&gt;="&amp;DATE(2024,6,1),'DATA INPUT'!$A$3:$A$3000,"&lt;"&amp;DATE(2024,6,31)))/COUNTIFS('DATA INPUT'!$B$3:$B$3000,'Report Tables'!AQ$1,'DATA INPUT'!$A$3:$A$3000,"&gt;="&amp;DATE(2024,6,1),'DATA INPUT'!$A$3:$A$3000,"&lt;"&amp;DATE(2024,6,31)),#N/A),IFERROR((SUMIFS('DATA INPUT'!$E$3:$E$3000,'DATA INPUT'!$B$3:$B$3000,'Report Tables'!AQ$1,'DATA INPUT'!$A$3:$A$3000,"&gt;="&amp;DATE(2024,6,1),'DATA INPUT'!$A$3:$A$3000,"&lt;"&amp;DATE(2024,6,31),'DATA INPUT'!$F$3:$F$3000,"&lt;&gt;*Exclude*"))/(COUNTIFS('DATA INPUT'!$B$3:$B$3000,'Report Tables'!AQ$1,'DATA INPUT'!$A$3:$A$3000,"&gt;="&amp;DATE(2024,6,1),'DATA INPUT'!$A$3:$A$3000,"&lt;"&amp;DATE(2024,6,31),'DATA INPUT'!$F$3:$F$3000,"&lt;&gt;*Exclude*")),#N/A))</f>
        <v>#N/A</v>
      </c>
      <c r="AR92" s="117" t="e">
        <f>IF($L$2="Yes",IFERROR((SUMIFS('DATA INPUT'!$E$3:$E$3000,'DATA INPUT'!$B$3:$B$3000,'Report Tables'!AR$1,'DATA INPUT'!$A$3:$A$3000,"&gt;="&amp;DATE(2024,6,1),'DATA INPUT'!$A$3:$A$3000,"&lt;"&amp;DATE(2024,6,31)))/COUNTIFS('DATA INPUT'!$B$3:$B$3000,'Report Tables'!AR$1,'DATA INPUT'!$A$3:$A$3000,"&gt;="&amp;DATE(2024,6,1),'DATA INPUT'!$A$3:$A$3000,"&lt;"&amp;DATE(2024,6,31)),#N/A),IFERROR((SUMIFS('DATA INPUT'!$E$3:$E$3000,'DATA INPUT'!$B$3:$B$3000,'Report Tables'!AR$1,'DATA INPUT'!$A$3:$A$3000,"&gt;="&amp;DATE(2024,6,1),'DATA INPUT'!$A$3:$A$3000,"&lt;"&amp;DATE(2024,6,31),'DATA INPUT'!$F$3:$F$3000,"&lt;&gt;*Exclude*"))/(COUNTIFS('DATA INPUT'!$B$3:$B$3000,'Report Tables'!AR$1,'DATA INPUT'!$A$3:$A$3000,"&gt;="&amp;DATE(2024,6,1),'DATA INPUT'!$A$3:$A$3000,"&lt;"&amp;DATE(2024,6,31),'DATA INPUT'!$F$3:$F$3000,"&lt;&gt;*Exclude*")),#N/A))</f>
        <v>#N/A</v>
      </c>
      <c r="AS92" s="117" t="e">
        <f>IF($L$2="Yes",IFERROR((SUMIFS('DATA INPUT'!$E$3:$E$3000,'DATA INPUT'!$B$3:$B$3000,'Report Tables'!AS$1,'DATA INPUT'!$A$3:$A$3000,"&gt;="&amp;DATE(2024,6,1),'DATA INPUT'!$A$3:$A$3000,"&lt;"&amp;DATE(2024,6,31)))/COUNTIFS('DATA INPUT'!$B$3:$B$3000,'Report Tables'!AS$1,'DATA INPUT'!$A$3:$A$3000,"&gt;="&amp;DATE(2024,6,1),'DATA INPUT'!$A$3:$A$3000,"&lt;"&amp;DATE(2024,6,31)),#N/A),IFERROR((SUMIFS('DATA INPUT'!$E$3:$E$3000,'DATA INPUT'!$B$3:$B$3000,'Report Tables'!AS$1,'DATA INPUT'!$A$3:$A$3000,"&gt;="&amp;DATE(2024,6,1),'DATA INPUT'!$A$3:$A$3000,"&lt;"&amp;DATE(2024,6,31),'DATA INPUT'!$F$3:$F$3000,"&lt;&gt;*Exclude*"))/(COUNTIFS('DATA INPUT'!$B$3:$B$3000,'Report Tables'!AS$1,'DATA INPUT'!$A$3:$A$3000,"&gt;="&amp;DATE(2024,6,1),'DATA INPUT'!$A$3:$A$3000,"&lt;"&amp;DATE(2024,6,31),'DATA INPUT'!$F$3:$F$3000,"&lt;&gt;*Exclude*")),#N/A))</f>
        <v>#N/A</v>
      </c>
      <c r="AT92" s="117" t="e">
        <f>IF($L$2="Yes",IFERROR((SUMIFS('DATA INPUT'!$E$3:$E$3000,'DATA INPUT'!$B$3:$B$3000,'Report Tables'!AT$1,'DATA INPUT'!$A$3:$A$3000,"&gt;="&amp;DATE(2024,6,1),'DATA INPUT'!$A$3:$A$3000,"&lt;"&amp;DATE(2024,6,31)))/COUNTIFS('DATA INPUT'!$B$3:$B$3000,'Report Tables'!AT$1,'DATA INPUT'!$A$3:$A$3000,"&gt;="&amp;DATE(2024,6,1),'DATA INPUT'!$A$3:$A$3000,"&lt;"&amp;DATE(2024,6,31)),#N/A),IFERROR((SUMIFS('DATA INPUT'!$E$3:$E$3000,'DATA INPUT'!$B$3:$B$3000,'Report Tables'!AT$1,'DATA INPUT'!$A$3:$A$3000,"&gt;="&amp;DATE(2024,6,1),'DATA INPUT'!$A$3:$A$3000,"&lt;"&amp;DATE(2024,6,31),'DATA INPUT'!$F$3:$F$3000,"&lt;&gt;*Exclude*"))/(COUNTIFS('DATA INPUT'!$B$3:$B$3000,'Report Tables'!AT$1,'DATA INPUT'!$A$3:$A$3000,"&gt;="&amp;DATE(2024,6,1),'DATA INPUT'!$A$3:$A$3000,"&lt;"&amp;DATE(2024,6,31),'DATA INPUT'!$F$3:$F$3000,"&lt;&gt;*Exclude*")),#N/A))</f>
        <v>#N/A</v>
      </c>
      <c r="AU92" s="117" t="e">
        <f t="shared" si="24"/>
        <v>#N/A</v>
      </c>
      <c r="AV92" s="117" t="e">
        <f>IF($L$2="Yes",IFERROR((SUMIFS('DATA INPUT'!$D$3:$D$3000,'DATA INPUT'!$A$3:$A$3000,"&gt;="&amp;DATE(2024,6,1),'DATA INPUT'!$A$3:$A$3000,"&lt;"&amp;DATE(2024,6,31),'DATA INPUT'!$G$3:$G$3000,"&lt;&gt;*School service*"))/COUNTIFS('DATA INPUT'!$A$3:$A$3000,"&gt;="&amp;DATE(2024,6,1),'DATA INPUT'!$A$3:$A$3000,"&lt;"&amp;DATE(2024,6,31),'DATA INPUT'!$G$3:$G$3000,"&lt;&gt;*School service*",'DATA INPUT'!$D$3:$D$3000,"&lt;&gt;"&amp;""),#N/A),IFERROR((SUMIFS('DATA INPUT'!$D$3:$D$3000,'DATA INPUT'!$A$3:$A$3000,"&gt;="&amp;DATE(2024,6,1),'DATA INPUT'!$A$3:$A$3000,"&lt;"&amp;DATE(2024,6,31),'DATA INPUT'!$F$3:$F$3000,"&lt;&gt;*Exclude*",'DATA INPUT'!$G$3:$G$3000,"&lt;&gt;*School service*"))/(COUNTIFS('DATA INPUT'!$A$3:$A$3000,"&gt;="&amp;DATE(2024,6,1),'DATA INPUT'!$A$3:$A$3000,"&lt;"&amp;DATE(2024,6,31),'DATA INPUT'!$F$3:$F$3000,"&lt;&gt;*Exclude*",'DATA INPUT'!$G$3:$G$3000,"&lt;&gt;*School service*",'DATA INPUT'!$D$3:$D$3000,"&lt;&gt;"&amp;"")),#N/A))</f>
        <v>#N/A</v>
      </c>
      <c r="AW92" s="117" t="e">
        <f t="shared" si="25"/>
        <v>#N/A</v>
      </c>
      <c r="AX92" s="117" t="e">
        <f>IF($L$2="Yes",IFERROR((SUMIFS('DATA INPUT'!$E$3:$E$3000,'DATA INPUT'!$B$3:$B$3000,'Report Tables'!AX$1,'DATA INPUT'!$A$3:$A$3000,"&gt;="&amp;DATE(2024,6,1),'DATA INPUT'!$A$3:$A$3000,"&lt;"&amp;DATE(2024,6,31)))/COUNTIFS('DATA INPUT'!$B$3:$B$3000,'Report Tables'!AX$1,'DATA INPUT'!$A$3:$A$3000,"&gt;="&amp;DATE(2024,6,1),'DATA INPUT'!$A$3:$A$3000,"&lt;"&amp;DATE(2024,6,31)),#N/A),IFERROR((SUMIFS('DATA INPUT'!$E$3:$E$3000,'DATA INPUT'!$B$3:$B$3000,'Report Tables'!AX$1,'DATA INPUT'!$A$3:$A$3000,"&gt;="&amp;DATE(2024,6,1),'DATA INPUT'!$A$3:$A$3000,"&lt;"&amp;DATE(2024,6,31),'DATA INPUT'!$F$3:$F$3000,"&lt;&gt;*Exclude*"))/(COUNTIFS('DATA INPUT'!$B$3:$B$3000,'Report Tables'!AX$1,'DATA INPUT'!$A$3:$A$3000,"&gt;="&amp;DATE(2024,6,1),'DATA INPUT'!$A$3:$A$3000,"&lt;"&amp;DATE(2024,6,31),'DATA INPUT'!$F$3:$F$3000,"&lt;&gt;*Exclude*")),#N/A))</f>
        <v>#N/A</v>
      </c>
      <c r="AY92" s="117" t="e">
        <f>IF($L$2="Yes",IFERROR((SUMIFS('DATA INPUT'!$D$3:$D$3000,'DATA INPUT'!$B$3:$B$3000,'Report Tables'!AX$1,'DATA INPUT'!$A$3:$A$3000,"&gt;="&amp;DATE(2024,6,1),'DATA INPUT'!$A$3:$A$3000,"&lt;"&amp;DATE(2024,6,31)))/COUNTIFS('DATA INPUT'!$B$3:$B$3000,'Report Tables'!AX$1,'DATA INPUT'!$A$3:$A$3000,"&gt;="&amp;DATE(2024,6,1),'DATA INPUT'!$A$3:$A$3000,"&lt;"&amp;DATE(2024,6,31)),#N/A),IFERROR((SUMIFS('DATA INPUT'!$D$3:$D$3000,'DATA INPUT'!$B$3:$B$3000,'Report Tables'!AX$1,'DATA INPUT'!$A$3:$A$3000,"&gt;="&amp;DATE(2024,6,1),'DATA INPUT'!$A$3:$A$3000,"&lt;"&amp;DATE(2024,6,31),'DATA INPUT'!$F$3:$F$3000,"&lt;&gt;*Exclude*"))/(COUNTIFS('DATA INPUT'!$B$3:$B$3000,'Report Tables'!AX$1,'DATA INPUT'!$A$3:$A$3000,"&gt;="&amp;DATE(2024,6,1),'DATA INPUT'!$A$3:$A$3000,"&lt;"&amp;DATE(2024,6,31),'DATA INPUT'!$F$3:$F$3000,"&lt;&gt;*Exclude*")),#N/A))</f>
        <v>#N/A</v>
      </c>
      <c r="AZ92" s="117" t="e">
        <f>IF($L$2="Yes",IFERROR((SUMIFS('DATA INPUT'!$C$3:$C$3000,'DATA INPUT'!$B$3:$B$3000,'Report Tables'!AX$1,'DATA INPUT'!$A$3:$A$3000,"&gt;="&amp;DATE(2024,6,1),'DATA INPUT'!$A$3:$A$3000,"&lt;"&amp;DATE(2024,6,31)))/COUNTIFS('DATA INPUT'!$B$3:$B$3000,'Report Tables'!AX$1,'DATA INPUT'!$A$3:$A$3000,"&gt;="&amp;DATE(2024,6,1),'DATA INPUT'!$A$3:$A$3000,"&lt;"&amp;DATE(2024,6,31)),#N/A),IFERROR((SUMIFS('DATA INPUT'!$C$3:$C$3000,'DATA INPUT'!$B$3:$B$3000,'Report Tables'!AX$1,'DATA INPUT'!$A$3:$A$3000,"&gt;="&amp;DATE(2024,6,1),'DATA INPUT'!$A$3:$A$3000,"&lt;"&amp;DATE(2024,6,31),'DATA INPUT'!$F$3:$F$3000,"&lt;&gt;*Exclude*"))/(COUNTIFS('DATA INPUT'!$B$3:$B$3000,'Report Tables'!AX$1,'DATA INPUT'!$A$3:$A$3000,"&gt;="&amp;DATE(2024,6,1),'DATA INPUT'!$A$3:$A$3000,"&lt;"&amp;DATE(2024,6,31),'DATA INPUT'!$F$3:$F$3000,"&lt;&gt;*Exclude*")),#N/A))</f>
        <v>#N/A</v>
      </c>
    </row>
    <row r="93" spans="25:52" x14ac:dyDescent="0.3">
      <c r="Y93" s="149"/>
      <c r="Z93" s="149" t="s">
        <v>18</v>
      </c>
      <c r="AA93" s="136" t="e">
        <f>IF($L$2="Yes",IF(SUMIFS('DATA INPUT'!$E$3:$E$3000,'DATA INPUT'!$B$3:$B$3000,'Report Tables'!AA$1,'DATA INPUT'!$A$3:$A$3000,"&gt;="&amp;DATE(2024,7,1),'DATA INPUT'!$A$3:$A$3000,"&lt;"&amp;DATE(2024,7,31))=0,#N/A,(SUMIFS('DATA INPUT'!$E$3:$E$3000,'DATA INPUT'!$B$3:$B$3000,'Report Tables'!AA$1,'DATA INPUT'!$A$3:$A$3000,"&gt;="&amp;DATE(2024,7,1),'DATA INPUT'!$A$3:$A$3000,"&lt;"&amp;DATE(2024,7,31)))),IF(SUMIFS('DATA INPUT'!$E$3:$E$3000,'DATA INPUT'!$B$3:$B$3000,'Report Tables'!AA$1,'DATA INPUT'!$A$3:$A$3000,"&gt;="&amp;DATE(2024,7,1),'DATA INPUT'!$A$3:$A$3000,"&lt;"&amp;DATE(2024,7,31),'DATA INPUT'!$F$3:$F$3000,"&lt;&gt;*Exclude*")=0,#N/A,(SUMIFS('DATA INPUT'!$E$3:$E$3000,'DATA INPUT'!$B$3:$B$3000,'Report Tables'!AA$1,'DATA INPUT'!$A$3:$A$3000,"&gt;="&amp;DATE(2024,7,1),'DATA INPUT'!$A$3:$A$3000,"&lt;"&amp;DATE(2024,7,31),'DATA INPUT'!$F$3:$F$3000,"&lt;&gt;*Exclude*"))))</f>
        <v>#N/A</v>
      </c>
      <c r="AB93" s="136" t="e">
        <f>IF($L$2="Yes",IF(SUMIFS('DATA INPUT'!$E$3:$E$3000,'DATA INPUT'!$B$3:$B$3000,'Report Tables'!AB$1,'DATA INPUT'!$A$3:$A$3000,"&gt;="&amp;DATE(2024,7,1),'DATA INPUT'!$A$3:$A$3000,"&lt;"&amp;DATE(2024,7,31))=0,#N/A,(SUMIFS('DATA INPUT'!$E$3:$E$3000,'DATA INPUT'!$B$3:$B$3000,'Report Tables'!AB$1,'DATA INPUT'!$A$3:$A$3000,"&gt;="&amp;DATE(2024,7,1),'DATA INPUT'!$A$3:$A$3000,"&lt;"&amp;DATE(2024,7,31)))),IF(SUMIFS('DATA INPUT'!$E$3:$E$3000,'DATA INPUT'!$B$3:$B$3000,'Report Tables'!AB$1,'DATA INPUT'!$A$3:$A$3000,"&gt;="&amp;DATE(2024,7,1),'DATA INPUT'!$A$3:$A$3000,"&lt;"&amp;DATE(2024,7,31),'DATA INPUT'!$F$3:$F$3000,"&lt;&gt;*Exclude*")=0,#N/A,(SUMIFS('DATA INPUT'!$E$3:$E$3000,'DATA INPUT'!$B$3:$B$3000,'Report Tables'!AB$1,'DATA INPUT'!$A$3:$A$3000,"&gt;="&amp;DATE(2024,7,1),'DATA INPUT'!$A$3:$A$3000,"&lt;"&amp;DATE(2024,7,31),'DATA INPUT'!$F$3:$F$3000,"&lt;&gt;*Exclude*"))))</f>
        <v>#N/A</v>
      </c>
      <c r="AC93" s="136" t="e">
        <f>IF($L$2="Yes",IF(SUMIFS('DATA INPUT'!$E$3:$E$3000,'DATA INPUT'!$B$3:$B$3000,'Report Tables'!AC$1,'DATA INPUT'!$A$3:$A$3000,"&gt;="&amp;DATE(2024,7,1),'DATA INPUT'!$A$3:$A$3000,"&lt;"&amp;DATE(2024,7,31))=0,#N/A,(SUMIFS('DATA INPUT'!$E$3:$E$3000,'DATA INPUT'!$B$3:$B$3000,'Report Tables'!AC$1,'DATA INPUT'!$A$3:$A$3000,"&gt;="&amp;DATE(2024,7,1),'DATA INPUT'!$A$3:$A$3000,"&lt;"&amp;DATE(2024,7,31)))),IF(SUMIFS('DATA INPUT'!$E$3:$E$3000,'DATA INPUT'!$B$3:$B$3000,'Report Tables'!AC$1,'DATA INPUT'!$A$3:$A$3000,"&gt;="&amp;DATE(2024,7,1),'DATA INPUT'!$A$3:$A$3000,"&lt;"&amp;DATE(2024,7,31),'DATA INPUT'!$F$3:$F$3000,"&lt;&gt;*Exclude*")=0,#N/A,(SUMIFS('DATA INPUT'!$E$3:$E$3000,'DATA INPUT'!$B$3:$B$3000,'Report Tables'!AC$1,'DATA INPUT'!$A$3:$A$3000,"&gt;="&amp;DATE(2024,7,1),'DATA INPUT'!$A$3:$A$3000,"&lt;"&amp;DATE(2024,7,31),'DATA INPUT'!$F$3:$F$3000,"&lt;&gt;*Exclude*"))))</f>
        <v>#N/A</v>
      </c>
      <c r="AD93" s="136" t="e">
        <f>IF($L$2="Yes",IF(SUMIFS('DATA INPUT'!$E$3:$E$3000,'DATA INPUT'!$B$3:$B$3000,'Report Tables'!AD$1,'DATA INPUT'!$A$3:$A$3000,"&gt;="&amp;DATE(2024,7,1),'DATA INPUT'!$A$3:$A$3000,"&lt;"&amp;DATE(2024,7,31))=0,#N/A,(SUMIFS('DATA INPUT'!$E$3:$E$3000,'DATA INPUT'!$B$3:$B$3000,'Report Tables'!AD$1,'DATA INPUT'!$A$3:$A$3000,"&gt;="&amp;DATE(2024,7,1),'DATA INPUT'!$A$3:$A$3000,"&lt;"&amp;DATE(2024,7,31)))),IF(SUMIFS('DATA INPUT'!$E$3:$E$3000,'DATA INPUT'!$B$3:$B$3000,'Report Tables'!AD$1,'DATA INPUT'!$A$3:$A$3000,"&gt;="&amp;DATE(2024,7,1),'DATA INPUT'!$A$3:$A$3000,"&lt;"&amp;DATE(2024,7,31),'DATA INPUT'!$F$3:$F$3000,"&lt;&gt;*Exclude*")=0,#N/A,(SUMIFS('DATA INPUT'!$E$3:$E$3000,'DATA INPUT'!$B$3:$B$3000,'Report Tables'!AD$1,'DATA INPUT'!$A$3:$A$3000,"&gt;="&amp;DATE(2024,7,1),'DATA INPUT'!$A$3:$A$3000,"&lt;"&amp;DATE(2024,7,31),'DATA INPUT'!$F$3:$F$3000,"&lt;&gt;*Exclude*"))))</f>
        <v>#N/A</v>
      </c>
      <c r="AE93" s="136" t="e">
        <f>IF($L$2="Yes",IF(SUMIFS('DATA INPUT'!$E$3:$E$3000,'DATA INPUT'!$B$3:$B$3000,'Report Tables'!AE$1,'DATA INPUT'!$A$3:$A$3000,"&gt;="&amp;DATE(2024,7,1),'DATA INPUT'!$A$3:$A$3000,"&lt;"&amp;DATE(2024,7,31))=0,#N/A,(SUMIFS('DATA INPUT'!$E$3:$E$3000,'DATA INPUT'!$B$3:$B$3000,'Report Tables'!AE$1,'DATA INPUT'!$A$3:$A$3000,"&gt;="&amp;DATE(2024,7,1),'DATA INPUT'!$A$3:$A$3000,"&lt;"&amp;DATE(2024,7,31)))),IF(SUMIFS('DATA INPUT'!$E$3:$E$3000,'DATA INPUT'!$B$3:$B$3000,'Report Tables'!AE$1,'DATA INPUT'!$A$3:$A$3000,"&gt;="&amp;DATE(2024,7,1),'DATA INPUT'!$A$3:$A$3000,"&lt;"&amp;DATE(2024,7,31),'DATA INPUT'!$F$3:$F$3000,"&lt;&gt;*Exclude*")=0,#N/A,(SUMIFS('DATA INPUT'!$E$3:$E$3000,'DATA INPUT'!$B$3:$B$3000,'Report Tables'!AE$1,'DATA INPUT'!$A$3:$A$3000,"&gt;="&amp;DATE(2024,7,1),'DATA INPUT'!$A$3:$A$3000,"&lt;"&amp;DATE(2024,7,31),'DATA INPUT'!$F$3:$F$3000,"&lt;&gt;*Exclude*"))))</f>
        <v>#N/A</v>
      </c>
      <c r="AF93" s="136" t="e">
        <f>IF($L$2="Yes",IF(SUMIFS('DATA INPUT'!$E$3:$E$3000,'DATA INPUT'!$B$3:$B$3000,'Report Tables'!AF$1,'DATA INPUT'!$A$3:$A$3000,"&gt;="&amp;DATE(2024,7,1),'DATA INPUT'!$A$3:$A$3000,"&lt;"&amp;DATE(2024,7,31))=0,#N/A,(SUMIFS('DATA INPUT'!$E$3:$E$3000,'DATA INPUT'!$B$3:$B$3000,'Report Tables'!AF$1,'DATA INPUT'!$A$3:$A$3000,"&gt;="&amp;DATE(2024,7,1),'DATA INPUT'!$A$3:$A$3000,"&lt;"&amp;DATE(2024,7,31)))),IF(SUMIFS('DATA INPUT'!$E$3:$E$3000,'DATA INPUT'!$B$3:$B$3000,'Report Tables'!AF$1,'DATA INPUT'!$A$3:$A$3000,"&gt;="&amp;DATE(2024,7,1),'DATA INPUT'!$A$3:$A$3000,"&lt;"&amp;DATE(2024,7,31),'DATA INPUT'!$F$3:$F$3000,"&lt;&gt;*Exclude*")=0,#N/A,(SUMIFS('DATA INPUT'!$E$3:$E$3000,'DATA INPUT'!$B$3:$B$3000,'Report Tables'!AF$1,'DATA INPUT'!$A$3:$A$3000,"&gt;="&amp;DATE(2024,7,1),'DATA INPUT'!$A$3:$A$3000,"&lt;"&amp;DATE(2024,7,31),'DATA INPUT'!$F$3:$F$3000,"&lt;&gt;*Exclude*"))))</f>
        <v>#N/A</v>
      </c>
      <c r="AG93" s="136" t="e">
        <f>IF($L$2="Yes",IF(SUMIFS('DATA INPUT'!$E$3:$E$3000,'DATA INPUT'!$B$3:$B$3000,'Report Tables'!AG$1,'DATA INPUT'!$A$3:$A$3000,"&gt;="&amp;DATE(2024,7,1),'DATA INPUT'!$A$3:$A$3000,"&lt;"&amp;DATE(2024,7,31))=0,#N/A,(SUMIFS('DATA INPUT'!$E$3:$E$3000,'DATA INPUT'!$B$3:$B$3000,'Report Tables'!AG$1,'DATA INPUT'!$A$3:$A$3000,"&gt;="&amp;DATE(2024,7,1),'DATA INPUT'!$A$3:$A$3000,"&lt;"&amp;DATE(2024,7,31)))),IF(SUMIFS('DATA INPUT'!$E$3:$E$3000,'DATA INPUT'!$B$3:$B$3000,'Report Tables'!AG$1,'DATA INPUT'!$A$3:$A$3000,"&gt;="&amp;DATE(2024,7,1),'DATA INPUT'!$A$3:$A$3000,"&lt;"&amp;DATE(2024,7,31),'DATA INPUT'!$F$3:$F$3000,"&lt;&gt;*Exclude*")=0,#N/A,(SUMIFS('DATA INPUT'!$E$3:$E$3000,'DATA INPUT'!$B$3:$B$3000,'Report Tables'!AG$1,'DATA INPUT'!$A$3:$A$3000,"&gt;="&amp;DATE(2024,7,1),'DATA INPUT'!$A$3:$A$3000,"&lt;"&amp;DATE(2024,7,31),'DATA INPUT'!$F$3:$F$3000,"&lt;&gt;*Exclude*"))))</f>
        <v>#N/A</v>
      </c>
      <c r="AH93" s="136" t="e">
        <f>IF($L$2="Yes",IF(SUMIFS('DATA INPUT'!$E$3:$E$3000,'DATA INPUT'!$B$3:$B$3000,'Report Tables'!AH$1,'DATA INPUT'!$A$3:$A$3000,"&gt;="&amp;DATE(2024,7,1),'DATA INPUT'!$A$3:$A$3000,"&lt;"&amp;DATE(2024,7,31))=0,#N/A,(SUMIFS('DATA INPUT'!$E$3:$E$3000,'DATA INPUT'!$B$3:$B$3000,'Report Tables'!AH$1,'DATA INPUT'!$A$3:$A$3000,"&gt;="&amp;DATE(2024,7,1),'DATA INPUT'!$A$3:$A$3000,"&lt;"&amp;DATE(2024,7,31)))),IF(SUMIFS('DATA INPUT'!$E$3:$E$3000,'DATA INPUT'!$B$3:$B$3000,'Report Tables'!AH$1,'DATA INPUT'!$A$3:$A$3000,"&gt;="&amp;DATE(2024,7,1),'DATA INPUT'!$A$3:$A$3000,"&lt;"&amp;DATE(2024,7,31),'DATA INPUT'!$F$3:$F$3000,"&lt;&gt;*Exclude*")=0,#N/A,(SUMIFS('DATA INPUT'!$E$3:$E$3000,'DATA INPUT'!$B$3:$B$3000,'Report Tables'!AH$1,'DATA INPUT'!$A$3:$A$3000,"&gt;="&amp;DATE(2024,7,1),'DATA INPUT'!$A$3:$A$3000,"&lt;"&amp;DATE(2024,7,31),'DATA INPUT'!$F$3:$F$3000,"&lt;&gt;*Exclude*"))))</f>
        <v>#N/A</v>
      </c>
      <c r="AI93" s="136" t="e">
        <f t="shared" si="23"/>
        <v>#N/A</v>
      </c>
      <c r="AJ93" s="136" t="e">
        <f>IF($L$2="Yes",IF(SUMIFS('DATA INPUT'!$D$3:$D$3000,'DATA INPUT'!$A$3:$A$3000,"&gt;="&amp;DATE(2024,7,1),'DATA INPUT'!$A$3:$A$3000,"&lt;"&amp;DATE(2024,7,31),'DATA INPUT'!$G$3:$G$3000,"&lt;&gt;*School service*")=0,#N/A,(SUMIFS('DATA INPUT'!$D$3:$D$3000,'DATA INPUT'!$A$3:$A$3000,"&gt;="&amp;DATE(2024,7,1),'DATA INPUT'!$A$3:$A$3000,"&lt;"&amp;DATE(2024,7,31),'DATA INPUT'!$G$3:$G$3000,"&lt;&gt;*School service*"))),IF(SUMIFS('DATA INPUT'!$D$3:$D$3000,'DATA INPUT'!$A$3:$A$3000,"&gt;="&amp;DATE(2024,7,1),'DATA INPUT'!$A$3:$A$3000,"&lt;"&amp;DATE(2024,7,31),'DATA INPUT'!$F$3:$F$3000,"&lt;&gt;*Exclude*",'DATA INPUT'!$G$3:$G$3000,"&lt;&gt;*School service*")=0,#N/A,(SUMIFS('DATA INPUT'!$D$3:$D$3000,'DATA INPUT'!$A$3:$A$3000,"&gt;="&amp;DATE(2024,7,1),'DATA INPUT'!$A$3:$A$3000,"&lt;"&amp;DATE(2024,7,31),'DATA INPUT'!$F$3:$F$3000,"&lt;&gt;*Exclude*",'DATA INPUT'!$G$3:$G$3000,"&lt;&gt;*School service*"))))</f>
        <v>#N/A</v>
      </c>
      <c r="AK93" s="136" t="e">
        <f>AI93-AJ93</f>
        <v>#N/A</v>
      </c>
      <c r="AM93" s="117" t="e">
        <f>IF($L$2="Yes",IFERROR((SUMIFS('DATA INPUT'!$E$3:$E$3000,'DATA INPUT'!$B$3:$B$3000,'Report Tables'!AM$1,'DATA INPUT'!$A$3:$A$3000,"&gt;="&amp;DATE(2024,7,1),'DATA INPUT'!$A$3:$A$3000,"&lt;"&amp;DATE(2024,7,31)))/COUNTIFS('DATA INPUT'!$B$3:$B$3000,'Report Tables'!AM$1,'DATA INPUT'!$A$3:$A$3000,"&gt;="&amp;DATE(2024,7,1),'DATA INPUT'!$A$3:$A$3000,"&lt;"&amp;DATE(2024,7,31)),#N/A),IFERROR((SUMIFS('DATA INPUT'!$E$3:$E$3000,'DATA INPUT'!$B$3:$B$3000,'Report Tables'!AM$1,'DATA INPUT'!$A$3:$A$3000,"&gt;="&amp;DATE(2024,7,1),'DATA INPUT'!$A$3:$A$3000,"&lt;"&amp;DATE(2024,7,31),'DATA INPUT'!$F$3:$F$3000,"&lt;&gt;*Exclude*"))/(COUNTIFS('DATA INPUT'!$B$3:$B$3000,'Report Tables'!AM$1,'DATA INPUT'!$A$3:$A$3000,"&gt;="&amp;DATE(2024,7,1),'DATA INPUT'!$A$3:$A$3000,"&lt;"&amp;DATE(2024,7,31),'DATA INPUT'!$F$3:$F$3000,"&lt;&gt;*Exclude*")),#N/A))</f>
        <v>#N/A</v>
      </c>
      <c r="AN93" s="117" t="e">
        <f>IF($L$2="Yes",IFERROR((SUMIFS('DATA INPUT'!$E$3:$E$3000,'DATA INPUT'!$B$3:$B$3000,'Report Tables'!AN$1,'DATA INPUT'!$A$3:$A$3000,"&gt;="&amp;DATE(2024,7,1),'DATA INPUT'!$A$3:$A$3000,"&lt;"&amp;DATE(2024,7,31)))/COUNTIFS('DATA INPUT'!$B$3:$B$3000,'Report Tables'!AN$1,'DATA INPUT'!$A$3:$A$3000,"&gt;="&amp;DATE(2024,7,1),'DATA INPUT'!$A$3:$A$3000,"&lt;"&amp;DATE(2024,7,31)),#N/A),IFERROR((SUMIFS('DATA INPUT'!$E$3:$E$3000,'DATA INPUT'!$B$3:$B$3000,'Report Tables'!AN$1,'DATA INPUT'!$A$3:$A$3000,"&gt;="&amp;DATE(2024,7,1),'DATA INPUT'!$A$3:$A$3000,"&lt;"&amp;DATE(2024,7,31),'DATA INPUT'!$F$3:$F$3000,"&lt;&gt;*Exclude*"))/(COUNTIFS('DATA INPUT'!$B$3:$B$3000,'Report Tables'!AN$1,'DATA INPUT'!$A$3:$A$3000,"&gt;="&amp;DATE(2024,7,1),'DATA INPUT'!$A$3:$A$3000,"&lt;"&amp;DATE(2024,7,31),'DATA INPUT'!$F$3:$F$3000,"&lt;&gt;*Exclude*")),#N/A))</f>
        <v>#N/A</v>
      </c>
      <c r="AO93" s="117" t="e">
        <f>IF($L$2="Yes",IFERROR((SUMIFS('DATA INPUT'!$E$3:$E$3000,'DATA INPUT'!$B$3:$B$3000,'Report Tables'!AO$1,'DATA INPUT'!$A$3:$A$3000,"&gt;="&amp;DATE(2024,7,1),'DATA INPUT'!$A$3:$A$3000,"&lt;"&amp;DATE(2024,7,31)))/COUNTIFS('DATA INPUT'!$B$3:$B$3000,'Report Tables'!AO$1,'DATA INPUT'!$A$3:$A$3000,"&gt;="&amp;DATE(2024,7,1),'DATA INPUT'!$A$3:$A$3000,"&lt;"&amp;DATE(2024,7,31)),#N/A),IFERROR((SUMIFS('DATA INPUT'!$E$3:$E$3000,'DATA INPUT'!$B$3:$B$3000,'Report Tables'!AO$1,'DATA INPUT'!$A$3:$A$3000,"&gt;="&amp;DATE(2024,7,1),'DATA INPUT'!$A$3:$A$3000,"&lt;"&amp;DATE(2024,7,31),'DATA INPUT'!$F$3:$F$3000,"&lt;&gt;*Exclude*"))/(COUNTIFS('DATA INPUT'!$B$3:$B$3000,'Report Tables'!AO$1,'DATA INPUT'!$A$3:$A$3000,"&gt;="&amp;DATE(2024,7,1),'DATA INPUT'!$A$3:$A$3000,"&lt;"&amp;DATE(2024,7,31),'DATA INPUT'!$F$3:$F$3000,"&lt;&gt;*Exclude*")),#N/A))</f>
        <v>#N/A</v>
      </c>
      <c r="AP93" s="117" t="e">
        <f>IF($L$2="Yes",IFERROR((SUMIFS('DATA INPUT'!$E$3:$E$3000,'DATA INPUT'!$B$3:$B$3000,'Report Tables'!AP$1,'DATA INPUT'!$A$3:$A$3000,"&gt;="&amp;DATE(2024,7,1),'DATA INPUT'!$A$3:$A$3000,"&lt;"&amp;DATE(2024,7,31)))/COUNTIFS('DATA INPUT'!$B$3:$B$3000,'Report Tables'!AP$1,'DATA INPUT'!$A$3:$A$3000,"&gt;="&amp;DATE(2024,7,1),'DATA INPUT'!$A$3:$A$3000,"&lt;"&amp;DATE(2024,7,31)),#N/A),IFERROR((SUMIFS('DATA INPUT'!$E$3:$E$3000,'DATA INPUT'!$B$3:$B$3000,'Report Tables'!AP$1,'DATA INPUT'!$A$3:$A$3000,"&gt;="&amp;DATE(2024,7,1),'DATA INPUT'!$A$3:$A$3000,"&lt;"&amp;DATE(2024,7,31),'DATA INPUT'!$F$3:$F$3000,"&lt;&gt;*Exclude*"))/(COUNTIFS('DATA INPUT'!$B$3:$B$3000,'Report Tables'!AP$1,'DATA INPUT'!$A$3:$A$3000,"&gt;="&amp;DATE(2024,7,1),'DATA INPUT'!$A$3:$A$3000,"&lt;"&amp;DATE(2024,7,31),'DATA INPUT'!$F$3:$F$3000,"&lt;&gt;*Exclude*")),#N/A))</f>
        <v>#N/A</v>
      </c>
      <c r="AQ93" s="117" t="e">
        <f>IF($L$2="Yes",IFERROR((SUMIFS('DATA INPUT'!$E$3:$E$3000,'DATA INPUT'!$B$3:$B$3000,'Report Tables'!AQ$1,'DATA INPUT'!$A$3:$A$3000,"&gt;="&amp;DATE(2024,7,1),'DATA INPUT'!$A$3:$A$3000,"&lt;"&amp;DATE(2024,7,31)))/COUNTIFS('DATA INPUT'!$B$3:$B$3000,'Report Tables'!AQ$1,'DATA INPUT'!$A$3:$A$3000,"&gt;="&amp;DATE(2024,7,1),'DATA INPUT'!$A$3:$A$3000,"&lt;"&amp;DATE(2024,7,31)),#N/A),IFERROR((SUMIFS('DATA INPUT'!$E$3:$E$3000,'DATA INPUT'!$B$3:$B$3000,'Report Tables'!AQ$1,'DATA INPUT'!$A$3:$A$3000,"&gt;="&amp;DATE(2024,7,1),'DATA INPUT'!$A$3:$A$3000,"&lt;"&amp;DATE(2024,7,31),'DATA INPUT'!$F$3:$F$3000,"&lt;&gt;*Exclude*"))/(COUNTIFS('DATA INPUT'!$B$3:$B$3000,'Report Tables'!AQ$1,'DATA INPUT'!$A$3:$A$3000,"&gt;="&amp;DATE(2024,7,1),'DATA INPUT'!$A$3:$A$3000,"&lt;"&amp;DATE(2024,7,31),'DATA INPUT'!$F$3:$F$3000,"&lt;&gt;*Exclude*")),#N/A))</f>
        <v>#N/A</v>
      </c>
      <c r="AR93" s="117" t="e">
        <f>IF($L$2="Yes",IFERROR((SUMIFS('DATA INPUT'!$E$3:$E$3000,'DATA INPUT'!$B$3:$B$3000,'Report Tables'!AR$1,'DATA INPUT'!$A$3:$A$3000,"&gt;="&amp;DATE(2024,7,1),'DATA INPUT'!$A$3:$A$3000,"&lt;"&amp;DATE(2024,7,31)))/COUNTIFS('DATA INPUT'!$B$3:$B$3000,'Report Tables'!AR$1,'DATA INPUT'!$A$3:$A$3000,"&gt;="&amp;DATE(2024,7,1),'DATA INPUT'!$A$3:$A$3000,"&lt;"&amp;DATE(2024,7,31)),#N/A),IFERROR((SUMIFS('DATA INPUT'!$E$3:$E$3000,'DATA INPUT'!$B$3:$B$3000,'Report Tables'!AR$1,'DATA INPUT'!$A$3:$A$3000,"&gt;="&amp;DATE(2024,7,1),'DATA INPUT'!$A$3:$A$3000,"&lt;"&amp;DATE(2024,7,31),'DATA INPUT'!$F$3:$F$3000,"&lt;&gt;*Exclude*"))/(COUNTIFS('DATA INPUT'!$B$3:$B$3000,'Report Tables'!AR$1,'DATA INPUT'!$A$3:$A$3000,"&gt;="&amp;DATE(2024,7,1),'DATA INPUT'!$A$3:$A$3000,"&lt;"&amp;DATE(2024,7,31),'DATA INPUT'!$F$3:$F$3000,"&lt;&gt;*Exclude*")),#N/A))</f>
        <v>#N/A</v>
      </c>
      <c r="AS93" s="117" t="e">
        <f>IF($L$2="Yes",IFERROR((SUMIFS('DATA INPUT'!$E$3:$E$3000,'DATA INPUT'!$B$3:$B$3000,'Report Tables'!AS$1,'DATA INPUT'!$A$3:$A$3000,"&gt;="&amp;DATE(2024,7,1),'DATA INPUT'!$A$3:$A$3000,"&lt;"&amp;DATE(2024,7,31)))/COUNTIFS('DATA INPUT'!$B$3:$B$3000,'Report Tables'!AS$1,'DATA INPUT'!$A$3:$A$3000,"&gt;="&amp;DATE(2024,7,1),'DATA INPUT'!$A$3:$A$3000,"&lt;"&amp;DATE(2024,7,31)),#N/A),IFERROR((SUMIFS('DATA INPUT'!$E$3:$E$3000,'DATA INPUT'!$B$3:$B$3000,'Report Tables'!AS$1,'DATA INPUT'!$A$3:$A$3000,"&gt;="&amp;DATE(2024,7,1),'DATA INPUT'!$A$3:$A$3000,"&lt;"&amp;DATE(2024,7,31),'DATA INPUT'!$F$3:$F$3000,"&lt;&gt;*Exclude*"))/(COUNTIFS('DATA INPUT'!$B$3:$B$3000,'Report Tables'!AS$1,'DATA INPUT'!$A$3:$A$3000,"&gt;="&amp;DATE(2024,7,1),'DATA INPUT'!$A$3:$A$3000,"&lt;"&amp;DATE(2024,7,31),'DATA INPUT'!$F$3:$F$3000,"&lt;&gt;*Exclude*")),#N/A))</f>
        <v>#N/A</v>
      </c>
      <c r="AT93" s="117" t="e">
        <f>IF($L$2="Yes",IFERROR((SUMIFS('DATA INPUT'!$E$3:$E$3000,'DATA INPUT'!$B$3:$B$3000,'Report Tables'!AT$1,'DATA INPUT'!$A$3:$A$3000,"&gt;="&amp;DATE(2024,7,1),'DATA INPUT'!$A$3:$A$3000,"&lt;"&amp;DATE(2024,7,31)))/COUNTIFS('DATA INPUT'!$B$3:$B$3000,'Report Tables'!AT$1,'DATA INPUT'!$A$3:$A$3000,"&gt;="&amp;DATE(2024,7,1),'DATA INPUT'!$A$3:$A$3000,"&lt;"&amp;DATE(2024,7,31)),#N/A),IFERROR((SUMIFS('DATA INPUT'!$E$3:$E$3000,'DATA INPUT'!$B$3:$B$3000,'Report Tables'!AT$1,'DATA INPUT'!$A$3:$A$3000,"&gt;="&amp;DATE(2024,7,1),'DATA INPUT'!$A$3:$A$3000,"&lt;"&amp;DATE(2024,7,31),'DATA INPUT'!$F$3:$F$3000,"&lt;&gt;*Exclude*"))/(COUNTIFS('DATA INPUT'!$B$3:$B$3000,'Report Tables'!AT$1,'DATA INPUT'!$A$3:$A$3000,"&gt;="&amp;DATE(2024,7,1),'DATA INPUT'!$A$3:$A$3000,"&lt;"&amp;DATE(2024,7,31),'DATA INPUT'!$F$3:$F$3000,"&lt;&gt;*Exclude*")),#N/A))</f>
        <v>#N/A</v>
      </c>
      <c r="AU93" s="117" t="e">
        <f t="shared" si="24"/>
        <v>#N/A</v>
      </c>
      <c r="AV93" s="117" t="e">
        <f>IF($L$2="Yes",IFERROR((SUMIFS('DATA INPUT'!$D$3:$D$3000,'DATA INPUT'!$A$3:$A$3000,"&gt;="&amp;DATE(2024,7,1),'DATA INPUT'!$A$3:$A$3000,"&lt;"&amp;DATE(2024,7,31),'DATA INPUT'!$G$3:$G$3000,"&lt;&gt;*School service*"))/COUNTIFS('DATA INPUT'!$A$3:$A$3000,"&gt;="&amp;DATE(2024,7,1),'DATA INPUT'!$A$3:$A$3000,"&lt;"&amp;DATE(2024,7,31),'DATA INPUT'!$G$3:$G$3000,"&lt;&gt;*School service*",'DATA INPUT'!$D$3:$D$3000,"&lt;&gt;"&amp;""),#N/A),IFERROR((SUMIFS('DATA INPUT'!$D$3:$D$3000,'DATA INPUT'!$A$3:$A$3000,"&gt;="&amp;DATE(2024,7,1),'DATA INPUT'!$A$3:$A$3000,"&lt;"&amp;DATE(2024,7,31),'DATA INPUT'!$F$3:$F$3000,"&lt;&gt;*Exclude*",'DATA INPUT'!$G$3:$G$3000,"&lt;&gt;*School service*"))/(COUNTIFS('DATA INPUT'!$A$3:$A$3000,"&gt;="&amp;DATE(2024,7,1),'DATA INPUT'!$A$3:$A$3000,"&lt;"&amp;DATE(2024,7,31),'DATA INPUT'!$F$3:$F$3000,"&lt;&gt;*Exclude*",'DATA INPUT'!$G$3:$G$3000,"&lt;&gt;*School service*",'DATA INPUT'!$D$3:$D$3000,"&lt;&gt;"&amp;"")),#N/A))</f>
        <v>#N/A</v>
      </c>
      <c r="AW93" s="117" t="e">
        <f t="shared" si="25"/>
        <v>#N/A</v>
      </c>
      <c r="AX93" s="117" t="e">
        <f>IF($L$2="Yes",IFERROR((SUMIFS('DATA INPUT'!$E$3:$E$3000,'DATA INPUT'!$B$3:$B$3000,'Report Tables'!AX$1,'DATA INPUT'!$A$3:$A$3000,"&gt;="&amp;DATE(2024,7,1),'DATA INPUT'!$A$3:$A$3000,"&lt;"&amp;DATE(2024,7,31)))/COUNTIFS('DATA INPUT'!$B$3:$B$3000,'Report Tables'!AX$1,'DATA INPUT'!$A$3:$A$3000,"&gt;="&amp;DATE(2024,7,1),'DATA INPUT'!$A$3:$A$3000,"&lt;"&amp;DATE(2024,7,31)),#N/A),IFERROR((SUMIFS('DATA INPUT'!$E$3:$E$3000,'DATA INPUT'!$B$3:$B$3000,'Report Tables'!AX$1,'DATA INPUT'!$A$3:$A$3000,"&gt;="&amp;DATE(2024,7,1),'DATA INPUT'!$A$3:$A$3000,"&lt;"&amp;DATE(2024,7,31),'DATA INPUT'!$F$3:$F$3000,"&lt;&gt;*Exclude*"))/(COUNTIFS('DATA INPUT'!$B$3:$B$3000,'Report Tables'!AX$1,'DATA INPUT'!$A$3:$A$3000,"&gt;="&amp;DATE(2024,7,1),'DATA INPUT'!$A$3:$A$3000,"&lt;"&amp;DATE(2024,7,31),'DATA INPUT'!$F$3:$F$3000,"&lt;&gt;*Exclude*")),#N/A))</f>
        <v>#N/A</v>
      </c>
      <c r="AY93" s="117" t="e">
        <f>IF($L$2="Yes",IFERROR((SUMIFS('DATA INPUT'!$D$3:$D$3000,'DATA INPUT'!$B$3:$B$3000,'Report Tables'!AX$1,'DATA INPUT'!$A$3:$A$3000,"&gt;="&amp;DATE(2024,7,1),'DATA INPUT'!$A$3:$A$3000,"&lt;"&amp;DATE(2024,7,31)))/COUNTIFS('DATA INPUT'!$B$3:$B$3000,'Report Tables'!AX$1,'DATA INPUT'!$A$3:$A$3000,"&gt;="&amp;DATE(2024,7,1),'DATA INPUT'!$A$3:$A$3000,"&lt;"&amp;DATE(2024,7,31)),#N/A),IFERROR((SUMIFS('DATA INPUT'!$D$3:$D$3000,'DATA INPUT'!$B$3:$B$3000,'Report Tables'!AX$1,'DATA INPUT'!$A$3:$A$3000,"&gt;="&amp;DATE(2024,7,1),'DATA INPUT'!$A$3:$A$3000,"&lt;"&amp;DATE(2024,7,31),'DATA INPUT'!$F$3:$F$3000,"&lt;&gt;*Exclude*"))/(COUNTIFS('DATA INPUT'!$B$3:$B$3000,'Report Tables'!AX$1,'DATA INPUT'!$A$3:$A$3000,"&gt;="&amp;DATE(2024,7,1),'DATA INPUT'!$A$3:$A$3000,"&lt;"&amp;DATE(2024,7,31),'DATA INPUT'!$F$3:$F$3000,"&lt;&gt;*Exclude*")),#N/A))</f>
        <v>#N/A</v>
      </c>
      <c r="AZ93" s="117" t="e">
        <f>IF($L$2="Yes",IFERROR((SUMIFS('DATA INPUT'!$C$3:$C$3000,'DATA INPUT'!$B$3:$B$3000,'Report Tables'!AX$1,'DATA INPUT'!$A$3:$A$3000,"&gt;="&amp;DATE(2024,7,1),'DATA INPUT'!$A$3:$A$3000,"&lt;"&amp;DATE(2024,7,31)))/COUNTIFS('DATA INPUT'!$B$3:$B$3000,'Report Tables'!AX$1,'DATA INPUT'!$A$3:$A$3000,"&gt;="&amp;DATE(2024,7,1),'DATA INPUT'!$A$3:$A$3000,"&lt;"&amp;DATE(2024,7,31)),#N/A),IFERROR((SUMIFS('DATA INPUT'!$C$3:$C$3000,'DATA INPUT'!$B$3:$B$3000,'Report Tables'!AX$1,'DATA INPUT'!$A$3:$A$3000,"&gt;="&amp;DATE(2024,7,1),'DATA INPUT'!$A$3:$A$3000,"&lt;"&amp;DATE(2024,7,31),'DATA INPUT'!$F$3:$F$3000,"&lt;&gt;*Exclude*"))/(COUNTIFS('DATA INPUT'!$B$3:$B$3000,'Report Tables'!AX$1,'DATA INPUT'!$A$3:$A$3000,"&gt;="&amp;DATE(2024,7,1),'DATA INPUT'!$A$3:$A$3000,"&lt;"&amp;DATE(2024,7,31),'DATA INPUT'!$F$3:$F$3000,"&lt;&gt;*Exclude*")),#N/A))</f>
        <v>#N/A</v>
      </c>
    </row>
    <row r="94" spans="25:52" x14ac:dyDescent="0.3">
      <c r="Y94" s="149"/>
      <c r="Z94" s="149" t="s">
        <v>19</v>
      </c>
      <c r="AA94" s="136" t="e">
        <f>IF($L$2="Yes",IF(SUMIFS('DATA INPUT'!$E$3:$E$3000,'DATA INPUT'!$B$3:$B$3000,'Report Tables'!AA$1,'DATA INPUT'!$A$3:$A$3000,"&gt;="&amp;DATE(2024,8,1),'DATA INPUT'!$A$3:$A$3000,"&lt;"&amp;DATE(2024,8,31))=0,#N/A,(SUMIFS('DATA INPUT'!$E$3:$E$3000,'DATA INPUT'!$B$3:$B$3000,'Report Tables'!AA$1,'DATA INPUT'!$A$3:$A$3000,"&gt;="&amp;DATE(2024,8,1),'DATA INPUT'!$A$3:$A$3000,"&lt;"&amp;DATE(2024,8,31)))),IF(SUMIFS('DATA INPUT'!$E$3:$E$3000,'DATA INPUT'!$B$3:$B$3000,'Report Tables'!AA$1,'DATA INPUT'!$A$3:$A$3000,"&gt;="&amp;DATE(2024,8,1),'DATA INPUT'!$A$3:$A$3000,"&lt;"&amp;DATE(2024,8,31),'DATA INPUT'!$F$3:$F$3000,"&lt;&gt;*Exclude*")=0,#N/A,(SUMIFS('DATA INPUT'!$E$3:$E$3000,'DATA INPUT'!$B$3:$B$3000,'Report Tables'!AA$1,'DATA INPUT'!$A$3:$A$3000,"&gt;="&amp;DATE(2024,8,1),'DATA INPUT'!$A$3:$A$3000,"&lt;"&amp;DATE(2024,8,31),'DATA INPUT'!$F$3:$F$3000,"&lt;&gt;*Exclude*"))))</f>
        <v>#N/A</v>
      </c>
      <c r="AB94" s="136" t="e">
        <f>IF($L$2="Yes",IF(SUMIFS('DATA INPUT'!$E$3:$E$3000,'DATA INPUT'!$B$3:$B$3000,'Report Tables'!AB$1,'DATA INPUT'!$A$3:$A$3000,"&gt;="&amp;DATE(2024,8,1),'DATA INPUT'!$A$3:$A$3000,"&lt;"&amp;DATE(2024,8,31))=0,#N/A,(SUMIFS('DATA INPUT'!$E$3:$E$3000,'DATA INPUT'!$B$3:$B$3000,'Report Tables'!AB$1,'DATA INPUT'!$A$3:$A$3000,"&gt;="&amp;DATE(2024,8,1),'DATA INPUT'!$A$3:$A$3000,"&lt;"&amp;DATE(2024,8,31)))),IF(SUMIFS('DATA INPUT'!$E$3:$E$3000,'DATA INPUT'!$B$3:$B$3000,'Report Tables'!AB$1,'DATA INPUT'!$A$3:$A$3000,"&gt;="&amp;DATE(2024,8,1),'DATA INPUT'!$A$3:$A$3000,"&lt;"&amp;DATE(2024,8,31),'DATA INPUT'!$F$3:$F$3000,"&lt;&gt;*Exclude*")=0,#N/A,(SUMIFS('DATA INPUT'!$E$3:$E$3000,'DATA INPUT'!$B$3:$B$3000,'Report Tables'!AB$1,'DATA INPUT'!$A$3:$A$3000,"&gt;="&amp;DATE(2024,8,1),'DATA INPUT'!$A$3:$A$3000,"&lt;"&amp;DATE(2024,8,31),'DATA INPUT'!$F$3:$F$3000,"&lt;&gt;*Exclude*"))))</f>
        <v>#N/A</v>
      </c>
      <c r="AC94" s="136" t="e">
        <f>IF($L$2="Yes",IF(SUMIFS('DATA INPUT'!$E$3:$E$3000,'DATA INPUT'!$B$3:$B$3000,'Report Tables'!AC$1,'DATA INPUT'!$A$3:$A$3000,"&gt;="&amp;DATE(2024,8,1),'DATA INPUT'!$A$3:$A$3000,"&lt;"&amp;DATE(2024,8,31))=0,#N/A,(SUMIFS('DATA INPUT'!$E$3:$E$3000,'DATA INPUT'!$B$3:$B$3000,'Report Tables'!AC$1,'DATA INPUT'!$A$3:$A$3000,"&gt;="&amp;DATE(2024,8,1),'DATA INPUT'!$A$3:$A$3000,"&lt;"&amp;DATE(2024,8,31)))),IF(SUMIFS('DATA INPUT'!$E$3:$E$3000,'DATA INPUT'!$B$3:$B$3000,'Report Tables'!AC$1,'DATA INPUT'!$A$3:$A$3000,"&gt;="&amp;DATE(2024,8,1),'DATA INPUT'!$A$3:$A$3000,"&lt;"&amp;DATE(2024,8,31),'DATA INPUT'!$F$3:$F$3000,"&lt;&gt;*Exclude*")=0,#N/A,(SUMIFS('DATA INPUT'!$E$3:$E$3000,'DATA INPUT'!$B$3:$B$3000,'Report Tables'!AC$1,'DATA INPUT'!$A$3:$A$3000,"&gt;="&amp;DATE(2024,8,1),'DATA INPUT'!$A$3:$A$3000,"&lt;"&amp;DATE(2024,8,31),'DATA INPUT'!$F$3:$F$3000,"&lt;&gt;*Exclude*"))))</f>
        <v>#N/A</v>
      </c>
      <c r="AD94" s="136" t="e">
        <f>IF($L$2="Yes",IF(SUMIFS('DATA INPUT'!$E$3:$E$3000,'DATA INPUT'!$B$3:$B$3000,'Report Tables'!AD$1,'DATA INPUT'!$A$3:$A$3000,"&gt;="&amp;DATE(2024,8,1),'DATA INPUT'!$A$3:$A$3000,"&lt;"&amp;DATE(2024,8,31))=0,#N/A,(SUMIFS('DATA INPUT'!$E$3:$E$3000,'DATA INPUT'!$B$3:$B$3000,'Report Tables'!AD$1,'DATA INPUT'!$A$3:$A$3000,"&gt;="&amp;DATE(2024,8,1),'DATA INPUT'!$A$3:$A$3000,"&lt;"&amp;DATE(2024,8,31)))),IF(SUMIFS('DATA INPUT'!$E$3:$E$3000,'DATA INPUT'!$B$3:$B$3000,'Report Tables'!AD$1,'DATA INPUT'!$A$3:$A$3000,"&gt;="&amp;DATE(2024,8,1),'DATA INPUT'!$A$3:$A$3000,"&lt;"&amp;DATE(2024,8,31),'DATA INPUT'!$F$3:$F$3000,"&lt;&gt;*Exclude*")=0,#N/A,(SUMIFS('DATA INPUT'!$E$3:$E$3000,'DATA INPUT'!$B$3:$B$3000,'Report Tables'!AD$1,'DATA INPUT'!$A$3:$A$3000,"&gt;="&amp;DATE(2024,8,1),'DATA INPUT'!$A$3:$A$3000,"&lt;"&amp;DATE(2024,8,31),'DATA INPUT'!$F$3:$F$3000,"&lt;&gt;*Exclude*"))))</f>
        <v>#N/A</v>
      </c>
      <c r="AE94" s="136" t="e">
        <f>IF($L$2="Yes",IF(SUMIFS('DATA INPUT'!$E$3:$E$3000,'DATA INPUT'!$B$3:$B$3000,'Report Tables'!AE$1,'DATA INPUT'!$A$3:$A$3000,"&gt;="&amp;DATE(2024,8,1),'DATA INPUT'!$A$3:$A$3000,"&lt;"&amp;DATE(2024,8,31))=0,#N/A,(SUMIFS('DATA INPUT'!$E$3:$E$3000,'DATA INPUT'!$B$3:$B$3000,'Report Tables'!AE$1,'DATA INPUT'!$A$3:$A$3000,"&gt;="&amp;DATE(2024,8,1),'DATA INPUT'!$A$3:$A$3000,"&lt;"&amp;DATE(2024,8,31)))),IF(SUMIFS('DATA INPUT'!$E$3:$E$3000,'DATA INPUT'!$B$3:$B$3000,'Report Tables'!AE$1,'DATA INPUT'!$A$3:$A$3000,"&gt;="&amp;DATE(2024,8,1),'DATA INPUT'!$A$3:$A$3000,"&lt;"&amp;DATE(2024,8,31),'DATA INPUT'!$F$3:$F$3000,"&lt;&gt;*Exclude*")=0,#N/A,(SUMIFS('DATA INPUT'!$E$3:$E$3000,'DATA INPUT'!$B$3:$B$3000,'Report Tables'!AE$1,'DATA INPUT'!$A$3:$A$3000,"&gt;="&amp;DATE(2024,8,1),'DATA INPUT'!$A$3:$A$3000,"&lt;"&amp;DATE(2024,8,31),'DATA INPUT'!$F$3:$F$3000,"&lt;&gt;*Exclude*"))))</f>
        <v>#N/A</v>
      </c>
      <c r="AF94" s="136" t="e">
        <f>IF($L$2="Yes",IF(SUMIFS('DATA INPUT'!$E$3:$E$3000,'DATA INPUT'!$B$3:$B$3000,'Report Tables'!AF$1,'DATA INPUT'!$A$3:$A$3000,"&gt;="&amp;DATE(2024,8,1),'DATA INPUT'!$A$3:$A$3000,"&lt;"&amp;DATE(2024,8,31))=0,#N/A,(SUMIFS('DATA INPUT'!$E$3:$E$3000,'DATA INPUT'!$B$3:$B$3000,'Report Tables'!AF$1,'DATA INPUT'!$A$3:$A$3000,"&gt;="&amp;DATE(2024,8,1),'DATA INPUT'!$A$3:$A$3000,"&lt;"&amp;DATE(2024,8,31)))),IF(SUMIFS('DATA INPUT'!$E$3:$E$3000,'DATA INPUT'!$B$3:$B$3000,'Report Tables'!AF$1,'DATA INPUT'!$A$3:$A$3000,"&gt;="&amp;DATE(2024,8,1),'DATA INPUT'!$A$3:$A$3000,"&lt;"&amp;DATE(2024,8,31),'DATA INPUT'!$F$3:$F$3000,"&lt;&gt;*Exclude*")=0,#N/A,(SUMIFS('DATA INPUT'!$E$3:$E$3000,'DATA INPUT'!$B$3:$B$3000,'Report Tables'!AF$1,'DATA INPUT'!$A$3:$A$3000,"&gt;="&amp;DATE(2024,8,1),'DATA INPUT'!$A$3:$A$3000,"&lt;"&amp;DATE(2024,8,31),'DATA INPUT'!$F$3:$F$3000,"&lt;&gt;*Exclude*"))))</f>
        <v>#N/A</v>
      </c>
      <c r="AG94" s="136" t="e">
        <f>IF($L$2="Yes",IF(SUMIFS('DATA INPUT'!$E$3:$E$3000,'DATA INPUT'!$B$3:$B$3000,'Report Tables'!AG$1,'DATA INPUT'!$A$3:$A$3000,"&gt;="&amp;DATE(2024,8,1),'DATA INPUT'!$A$3:$A$3000,"&lt;"&amp;DATE(2024,8,31))=0,#N/A,(SUMIFS('DATA INPUT'!$E$3:$E$3000,'DATA INPUT'!$B$3:$B$3000,'Report Tables'!AG$1,'DATA INPUT'!$A$3:$A$3000,"&gt;="&amp;DATE(2024,8,1),'DATA INPUT'!$A$3:$A$3000,"&lt;"&amp;DATE(2024,8,31)))),IF(SUMIFS('DATA INPUT'!$E$3:$E$3000,'DATA INPUT'!$B$3:$B$3000,'Report Tables'!AG$1,'DATA INPUT'!$A$3:$A$3000,"&gt;="&amp;DATE(2024,8,1),'DATA INPUT'!$A$3:$A$3000,"&lt;"&amp;DATE(2024,8,31),'DATA INPUT'!$F$3:$F$3000,"&lt;&gt;*Exclude*")=0,#N/A,(SUMIFS('DATA INPUT'!$E$3:$E$3000,'DATA INPUT'!$B$3:$B$3000,'Report Tables'!AG$1,'DATA INPUT'!$A$3:$A$3000,"&gt;="&amp;DATE(2024,8,1),'DATA INPUT'!$A$3:$A$3000,"&lt;"&amp;DATE(2024,8,31),'DATA INPUT'!$F$3:$F$3000,"&lt;&gt;*Exclude*"))))</f>
        <v>#N/A</v>
      </c>
      <c r="AH94" s="136" t="e">
        <f>IF($L$2="Yes",IF(SUMIFS('DATA INPUT'!$E$3:$E$3000,'DATA INPUT'!$B$3:$B$3000,'Report Tables'!AH$1,'DATA INPUT'!$A$3:$A$3000,"&gt;="&amp;DATE(2024,8,1),'DATA INPUT'!$A$3:$A$3000,"&lt;"&amp;DATE(2024,8,31))=0,#N/A,(SUMIFS('DATA INPUT'!$E$3:$E$3000,'DATA INPUT'!$B$3:$B$3000,'Report Tables'!AH$1,'DATA INPUT'!$A$3:$A$3000,"&gt;="&amp;DATE(2024,8,1),'DATA INPUT'!$A$3:$A$3000,"&lt;"&amp;DATE(2024,8,31)))),IF(SUMIFS('DATA INPUT'!$E$3:$E$3000,'DATA INPUT'!$B$3:$B$3000,'Report Tables'!AH$1,'DATA INPUT'!$A$3:$A$3000,"&gt;="&amp;DATE(2024,8,1),'DATA INPUT'!$A$3:$A$3000,"&lt;"&amp;DATE(2024,8,31),'DATA INPUT'!$F$3:$F$3000,"&lt;&gt;*Exclude*")=0,#N/A,(SUMIFS('DATA INPUT'!$E$3:$E$3000,'DATA INPUT'!$B$3:$B$3000,'Report Tables'!AH$1,'DATA INPUT'!$A$3:$A$3000,"&gt;="&amp;DATE(2024,8,1),'DATA INPUT'!$A$3:$A$3000,"&lt;"&amp;DATE(2024,8,31),'DATA INPUT'!$F$3:$F$3000,"&lt;&gt;*Exclude*"))))</f>
        <v>#N/A</v>
      </c>
      <c r="AI94" s="136" t="e">
        <f t="shared" si="23"/>
        <v>#N/A</v>
      </c>
      <c r="AJ94" s="136" t="e">
        <f>IF($L$2="Yes",IF(SUMIFS('DATA INPUT'!$D$3:$D$3000,'DATA INPUT'!$A$3:$A$3000,"&gt;="&amp;DATE(2024,8,1),'DATA INPUT'!$A$3:$A$3000,"&lt;"&amp;DATE(2024,8,31),'DATA INPUT'!$G$3:$G$3000,"&lt;&gt;*School service*")=0,#N/A,(SUMIFS('DATA INPUT'!$D$3:$D$3000,'DATA INPUT'!$A$3:$A$3000,"&gt;="&amp;DATE(2024,8,1),'DATA INPUT'!$A$3:$A$3000,"&lt;"&amp;DATE(2024,8,31),'DATA INPUT'!$G$3:$G$3000,"&lt;&gt;*School service*"))),IF(SUMIFS('DATA INPUT'!$D$3:$D$3000,'DATA INPUT'!$A$3:$A$3000,"&gt;="&amp;DATE(2024,8,1),'DATA INPUT'!$A$3:$A$3000,"&lt;"&amp;DATE(2024,8,31),'DATA INPUT'!$F$3:$F$3000,"&lt;&gt;*Exclude*",'DATA INPUT'!$G$3:$G$3000,"&lt;&gt;*School service*")=0,#N/A,(SUMIFS('DATA INPUT'!$D$3:$D$3000,'DATA INPUT'!$A$3:$A$3000,"&gt;="&amp;DATE(2024,8,1),'DATA INPUT'!$A$3:$A$3000,"&lt;"&amp;DATE(2024,8,31),'DATA INPUT'!$F$3:$F$3000,"&lt;&gt;*Exclude*",'DATA INPUT'!$G$3:$G$3000,"&lt;&gt;*School service*"))))</f>
        <v>#N/A</v>
      </c>
      <c r="AK94" s="136" t="e">
        <f>AI94-AJ94</f>
        <v>#N/A</v>
      </c>
      <c r="AM94" s="117" t="e">
        <f>IF($L$2="Yes",IFERROR((SUMIFS('DATA INPUT'!$E$3:$E$3000,'DATA INPUT'!$B$3:$B$3000,'Report Tables'!AM$1,'DATA INPUT'!$A$3:$A$3000,"&gt;="&amp;DATE(2024,8,1),'DATA INPUT'!$A$3:$A$3000,"&lt;"&amp;DATE(2024,8,31)))/COUNTIFS('DATA INPUT'!$B$3:$B$3000,'Report Tables'!AM$1,'DATA INPUT'!$A$3:$A$3000,"&gt;="&amp;DATE(2024,8,1),'DATA INPUT'!$A$3:$A$3000,"&lt;"&amp;DATE(2024,8,31)),#N/A),IFERROR((SUMIFS('DATA INPUT'!$E$3:$E$3000,'DATA INPUT'!$B$3:$B$3000,'Report Tables'!AM$1,'DATA INPUT'!$A$3:$A$3000,"&gt;="&amp;DATE(2024,8,1),'DATA INPUT'!$A$3:$A$3000,"&lt;"&amp;DATE(2024,8,31),'DATA INPUT'!$F$3:$F$3000,"&lt;&gt;*Exclude*"))/(COUNTIFS('DATA INPUT'!$B$3:$B$3000,'Report Tables'!AM$1,'DATA INPUT'!$A$3:$A$3000,"&gt;="&amp;DATE(2024,8,1),'DATA INPUT'!$A$3:$A$3000,"&lt;"&amp;DATE(2024,8,31),'DATA INPUT'!$F$3:$F$3000,"&lt;&gt;*Exclude*")),#N/A))</f>
        <v>#N/A</v>
      </c>
      <c r="AN94" s="117" t="e">
        <f>IF($L$2="Yes",IFERROR((SUMIFS('DATA INPUT'!$E$3:$E$3000,'DATA INPUT'!$B$3:$B$3000,'Report Tables'!AN$1,'DATA INPUT'!$A$3:$A$3000,"&gt;="&amp;DATE(2024,8,1),'DATA INPUT'!$A$3:$A$3000,"&lt;"&amp;DATE(2024,8,31)))/COUNTIFS('DATA INPUT'!$B$3:$B$3000,'Report Tables'!AN$1,'DATA INPUT'!$A$3:$A$3000,"&gt;="&amp;DATE(2024,8,1),'DATA INPUT'!$A$3:$A$3000,"&lt;"&amp;DATE(2024,8,31)),#N/A),IFERROR((SUMIFS('DATA INPUT'!$E$3:$E$3000,'DATA INPUT'!$B$3:$B$3000,'Report Tables'!AN$1,'DATA INPUT'!$A$3:$A$3000,"&gt;="&amp;DATE(2024,8,1),'DATA INPUT'!$A$3:$A$3000,"&lt;"&amp;DATE(2024,8,31),'DATA INPUT'!$F$3:$F$3000,"&lt;&gt;*Exclude*"))/(COUNTIFS('DATA INPUT'!$B$3:$B$3000,'Report Tables'!AN$1,'DATA INPUT'!$A$3:$A$3000,"&gt;="&amp;DATE(2024,8,1),'DATA INPUT'!$A$3:$A$3000,"&lt;"&amp;DATE(2024,8,31),'DATA INPUT'!$F$3:$F$3000,"&lt;&gt;*Exclude*")),#N/A))</f>
        <v>#N/A</v>
      </c>
      <c r="AO94" s="117" t="e">
        <f>IF($L$2="Yes",IFERROR((SUMIFS('DATA INPUT'!$E$3:$E$3000,'DATA INPUT'!$B$3:$B$3000,'Report Tables'!AO$1,'DATA INPUT'!$A$3:$A$3000,"&gt;="&amp;DATE(2024,8,1),'DATA INPUT'!$A$3:$A$3000,"&lt;"&amp;DATE(2024,8,31)))/COUNTIFS('DATA INPUT'!$B$3:$B$3000,'Report Tables'!AO$1,'DATA INPUT'!$A$3:$A$3000,"&gt;="&amp;DATE(2024,8,1),'DATA INPUT'!$A$3:$A$3000,"&lt;"&amp;DATE(2024,8,31)),#N/A),IFERROR((SUMIFS('DATA INPUT'!$E$3:$E$3000,'DATA INPUT'!$B$3:$B$3000,'Report Tables'!AO$1,'DATA INPUT'!$A$3:$A$3000,"&gt;="&amp;DATE(2024,8,1),'DATA INPUT'!$A$3:$A$3000,"&lt;"&amp;DATE(2024,8,31),'DATA INPUT'!$F$3:$F$3000,"&lt;&gt;*Exclude*"))/(COUNTIFS('DATA INPUT'!$B$3:$B$3000,'Report Tables'!AO$1,'DATA INPUT'!$A$3:$A$3000,"&gt;="&amp;DATE(2024,8,1),'DATA INPUT'!$A$3:$A$3000,"&lt;"&amp;DATE(2024,8,31),'DATA INPUT'!$F$3:$F$3000,"&lt;&gt;*Exclude*")),#N/A))</f>
        <v>#N/A</v>
      </c>
      <c r="AP94" s="117" t="e">
        <f>IF($L$2="Yes",IFERROR((SUMIFS('DATA INPUT'!$E$3:$E$3000,'DATA INPUT'!$B$3:$B$3000,'Report Tables'!AP$1,'DATA INPUT'!$A$3:$A$3000,"&gt;="&amp;DATE(2024,8,1),'DATA INPUT'!$A$3:$A$3000,"&lt;"&amp;DATE(2024,8,31)))/COUNTIFS('DATA INPUT'!$B$3:$B$3000,'Report Tables'!AP$1,'DATA INPUT'!$A$3:$A$3000,"&gt;="&amp;DATE(2024,8,1),'DATA INPUT'!$A$3:$A$3000,"&lt;"&amp;DATE(2024,8,31)),#N/A),IFERROR((SUMIFS('DATA INPUT'!$E$3:$E$3000,'DATA INPUT'!$B$3:$B$3000,'Report Tables'!AP$1,'DATA INPUT'!$A$3:$A$3000,"&gt;="&amp;DATE(2024,8,1),'DATA INPUT'!$A$3:$A$3000,"&lt;"&amp;DATE(2024,8,31),'DATA INPUT'!$F$3:$F$3000,"&lt;&gt;*Exclude*"))/(COUNTIFS('DATA INPUT'!$B$3:$B$3000,'Report Tables'!AP$1,'DATA INPUT'!$A$3:$A$3000,"&gt;="&amp;DATE(2024,8,1),'DATA INPUT'!$A$3:$A$3000,"&lt;"&amp;DATE(2024,8,31),'DATA INPUT'!$F$3:$F$3000,"&lt;&gt;*Exclude*")),#N/A))</f>
        <v>#N/A</v>
      </c>
      <c r="AQ94" s="117" t="e">
        <f>IF($L$2="Yes",IFERROR((SUMIFS('DATA INPUT'!$E$3:$E$3000,'DATA INPUT'!$B$3:$B$3000,'Report Tables'!AQ$1,'DATA INPUT'!$A$3:$A$3000,"&gt;="&amp;DATE(2024,8,1),'DATA INPUT'!$A$3:$A$3000,"&lt;"&amp;DATE(2024,8,31)))/COUNTIFS('DATA INPUT'!$B$3:$B$3000,'Report Tables'!AQ$1,'DATA INPUT'!$A$3:$A$3000,"&gt;="&amp;DATE(2024,8,1),'DATA INPUT'!$A$3:$A$3000,"&lt;"&amp;DATE(2024,8,31)),#N/A),IFERROR((SUMIFS('DATA INPUT'!$E$3:$E$3000,'DATA INPUT'!$B$3:$B$3000,'Report Tables'!AQ$1,'DATA INPUT'!$A$3:$A$3000,"&gt;="&amp;DATE(2024,8,1),'DATA INPUT'!$A$3:$A$3000,"&lt;"&amp;DATE(2024,8,31),'DATA INPUT'!$F$3:$F$3000,"&lt;&gt;*Exclude*"))/(COUNTIFS('DATA INPUT'!$B$3:$B$3000,'Report Tables'!AQ$1,'DATA INPUT'!$A$3:$A$3000,"&gt;="&amp;DATE(2024,8,1),'DATA INPUT'!$A$3:$A$3000,"&lt;"&amp;DATE(2024,8,31),'DATA INPUT'!$F$3:$F$3000,"&lt;&gt;*Exclude*")),#N/A))</f>
        <v>#N/A</v>
      </c>
      <c r="AR94" s="117" t="e">
        <f>IF($L$2="Yes",IFERROR((SUMIFS('DATA INPUT'!$E$3:$E$3000,'DATA INPUT'!$B$3:$B$3000,'Report Tables'!AR$1,'DATA INPUT'!$A$3:$A$3000,"&gt;="&amp;DATE(2024,8,1),'DATA INPUT'!$A$3:$A$3000,"&lt;"&amp;DATE(2024,8,31)))/COUNTIFS('DATA INPUT'!$B$3:$B$3000,'Report Tables'!AR$1,'DATA INPUT'!$A$3:$A$3000,"&gt;="&amp;DATE(2024,8,1),'DATA INPUT'!$A$3:$A$3000,"&lt;"&amp;DATE(2024,8,31)),#N/A),IFERROR((SUMIFS('DATA INPUT'!$E$3:$E$3000,'DATA INPUT'!$B$3:$B$3000,'Report Tables'!AR$1,'DATA INPUT'!$A$3:$A$3000,"&gt;="&amp;DATE(2024,8,1),'DATA INPUT'!$A$3:$A$3000,"&lt;"&amp;DATE(2024,8,31),'DATA INPUT'!$F$3:$F$3000,"&lt;&gt;*Exclude*"))/(COUNTIFS('DATA INPUT'!$B$3:$B$3000,'Report Tables'!AR$1,'DATA INPUT'!$A$3:$A$3000,"&gt;="&amp;DATE(2024,8,1),'DATA INPUT'!$A$3:$A$3000,"&lt;"&amp;DATE(2024,8,31),'DATA INPUT'!$F$3:$F$3000,"&lt;&gt;*Exclude*")),#N/A))</f>
        <v>#N/A</v>
      </c>
      <c r="AS94" s="117" t="e">
        <f>IF($L$2="Yes",IFERROR((SUMIFS('DATA INPUT'!$E$3:$E$3000,'DATA INPUT'!$B$3:$B$3000,'Report Tables'!AS$1,'DATA INPUT'!$A$3:$A$3000,"&gt;="&amp;DATE(2024,8,1),'DATA INPUT'!$A$3:$A$3000,"&lt;"&amp;DATE(2024,8,31)))/COUNTIFS('DATA INPUT'!$B$3:$B$3000,'Report Tables'!AS$1,'DATA INPUT'!$A$3:$A$3000,"&gt;="&amp;DATE(2024,8,1),'DATA INPUT'!$A$3:$A$3000,"&lt;"&amp;DATE(2024,8,31)),#N/A),IFERROR((SUMIFS('DATA INPUT'!$E$3:$E$3000,'DATA INPUT'!$B$3:$B$3000,'Report Tables'!AS$1,'DATA INPUT'!$A$3:$A$3000,"&gt;="&amp;DATE(2024,8,1),'DATA INPUT'!$A$3:$A$3000,"&lt;"&amp;DATE(2024,8,31),'DATA INPUT'!$F$3:$F$3000,"&lt;&gt;*Exclude*"))/(COUNTIFS('DATA INPUT'!$B$3:$B$3000,'Report Tables'!AS$1,'DATA INPUT'!$A$3:$A$3000,"&gt;="&amp;DATE(2024,8,1),'DATA INPUT'!$A$3:$A$3000,"&lt;"&amp;DATE(2024,8,31),'DATA INPUT'!$F$3:$F$3000,"&lt;&gt;*Exclude*")),#N/A))</f>
        <v>#N/A</v>
      </c>
      <c r="AT94" s="117" t="e">
        <f>IF($L$2="Yes",IFERROR((SUMIFS('DATA INPUT'!$E$3:$E$3000,'DATA INPUT'!$B$3:$B$3000,'Report Tables'!AT$1,'DATA INPUT'!$A$3:$A$3000,"&gt;="&amp;DATE(2024,8,1),'DATA INPUT'!$A$3:$A$3000,"&lt;"&amp;DATE(2024,8,31)))/COUNTIFS('DATA INPUT'!$B$3:$B$3000,'Report Tables'!AT$1,'DATA INPUT'!$A$3:$A$3000,"&gt;="&amp;DATE(2024,8,1),'DATA INPUT'!$A$3:$A$3000,"&lt;"&amp;DATE(2024,8,31)),#N/A),IFERROR((SUMIFS('DATA INPUT'!$E$3:$E$3000,'DATA INPUT'!$B$3:$B$3000,'Report Tables'!AT$1,'DATA INPUT'!$A$3:$A$3000,"&gt;="&amp;DATE(2024,8,1),'DATA INPUT'!$A$3:$A$3000,"&lt;"&amp;DATE(2024,8,31),'DATA INPUT'!$F$3:$F$3000,"&lt;&gt;*Exclude*"))/(COUNTIFS('DATA INPUT'!$B$3:$B$3000,'Report Tables'!AT$1,'DATA INPUT'!$A$3:$A$3000,"&gt;="&amp;DATE(2024,8,1),'DATA INPUT'!$A$3:$A$3000,"&lt;"&amp;DATE(2024,8,31),'DATA INPUT'!$F$3:$F$3000,"&lt;&gt;*Exclude*")),#N/A))</f>
        <v>#N/A</v>
      </c>
      <c r="AU94" s="117" t="e">
        <f t="shared" si="24"/>
        <v>#N/A</v>
      </c>
      <c r="AV94" s="117" t="e">
        <f>IF($L$2="Yes",IFERROR((SUMIFS('DATA INPUT'!$D$3:$D$3000,'DATA INPUT'!$A$3:$A$3000,"&gt;="&amp;DATE(2024,8,1),'DATA INPUT'!$A$3:$A$3000,"&lt;"&amp;DATE(2024,8,31),'DATA INPUT'!$G$3:$G$3000,"&lt;&gt;*School service*"))/COUNTIFS('DATA INPUT'!$A$3:$A$3000,"&gt;="&amp;DATE(2024,8,1),'DATA INPUT'!$A$3:$A$3000,"&lt;"&amp;DATE(2024,8,31),'DATA INPUT'!$G$3:$G$3000,"&lt;&gt;*School service*",'DATA INPUT'!$D$3:$D$3000,"&lt;&gt;"&amp;""),#N/A),IFERROR((SUMIFS('DATA INPUT'!$D$3:$D$3000,'DATA INPUT'!$A$3:$A$3000,"&gt;="&amp;DATE(2024,8,1),'DATA INPUT'!$A$3:$A$3000,"&lt;"&amp;DATE(2024,8,31),'DATA INPUT'!$F$3:$F$3000,"&lt;&gt;*Exclude*",'DATA INPUT'!$G$3:$G$3000,"&lt;&gt;*School service*"))/(COUNTIFS('DATA INPUT'!$A$3:$A$3000,"&gt;="&amp;DATE(2024,8,1),'DATA INPUT'!$A$3:$A$3000,"&lt;"&amp;DATE(2024,8,31),'DATA INPUT'!$F$3:$F$3000,"&lt;&gt;*Exclude*",'DATA INPUT'!$G$3:$G$3000,"&lt;&gt;*School service*",'DATA INPUT'!$D$3:$D$3000,"&lt;&gt;"&amp;"")),#N/A))</f>
        <v>#N/A</v>
      </c>
      <c r="AW94" s="117" t="e">
        <f t="shared" si="25"/>
        <v>#N/A</v>
      </c>
      <c r="AX94" s="117" t="e">
        <f>IF($L$2="Yes",IFERROR((SUMIFS('DATA INPUT'!$E$3:$E$3000,'DATA INPUT'!$B$3:$B$3000,'Report Tables'!AX$1,'DATA INPUT'!$A$3:$A$3000,"&gt;="&amp;DATE(2024,8,1),'DATA INPUT'!$A$3:$A$3000,"&lt;"&amp;DATE(2024,8,31)))/COUNTIFS('DATA INPUT'!$B$3:$B$3000,'Report Tables'!AX$1,'DATA INPUT'!$A$3:$A$3000,"&gt;="&amp;DATE(2024,8,1),'DATA INPUT'!$A$3:$A$3000,"&lt;"&amp;DATE(2024,8,31)),#N/A),IFERROR((SUMIFS('DATA INPUT'!$E$3:$E$3000,'DATA INPUT'!$B$3:$B$3000,'Report Tables'!AX$1,'DATA INPUT'!$A$3:$A$3000,"&gt;="&amp;DATE(2024,8,1),'DATA INPUT'!$A$3:$A$3000,"&lt;"&amp;DATE(2024,8,31),'DATA INPUT'!$F$3:$F$3000,"&lt;&gt;*Exclude*"))/(COUNTIFS('DATA INPUT'!$B$3:$B$3000,'Report Tables'!AX$1,'DATA INPUT'!$A$3:$A$3000,"&gt;="&amp;DATE(2024,8,1),'DATA INPUT'!$A$3:$A$3000,"&lt;"&amp;DATE(2024,8,31),'DATA INPUT'!$F$3:$F$3000,"&lt;&gt;*Exclude*")),#N/A))</f>
        <v>#N/A</v>
      </c>
      <c r="AY94" s="117" t="e">
        <f>IF($L$2="Yes",IFERROR((SUMIFS('DATA INPUT'!$D$3:$D$3000,'DATA INPUT'!$B$3:$B$3000,'Report Tables'!AX$1,'DATA INPUT'!$A$3:$A$3000,"&gt;="&amp;DATE(2024,8,1),'DATA INPUT'!$A$3:$A$3000,"&lt;"&amp;DATE(2024,8,31)))/COUNTIFS('DATA INPUT'!$B$3:$B$3000,'Report Tables'!AX$1,'DATA INPUT'!$A$3:$A$3000,"&gt;="&amp;DATE(2024,8,1),'DATA INPUT'!$A$3:$A$3000,"&lt;"&amp;DATE(2024,8,31)),#N/A),IFERROR((SUMIFS('DATA INPUT'!$D$3:$D$3000,'DATA INPUT'!$B$3:$B$3000,'Report Tables'!AX$1,'DATA INPUT'!$A$3:$A$3000,"&gt;="&amp;DATE(2024,8,1),'DATA INPUT'!$A$3:$A$3000,"&lt;"&amp;DATE(2024,8,31),'DATA INPUT'!$F$3:$F$3000,"&lt;&gt;*Exclude*"))/(COUNTIFS('DATA INPUT'!$B$3:$B$3000,'Report Tables'!AX$1,'DATA INPUT'!$A$3:$A$3000,"&gt;="&amp;DATE(2024,8,1),'DATA INPUT'!$A$3:$A$3000,"&lt;"&amp;DATE(2024,8,31),'DATA INPUT'!$F$3:$F$3000,"&lt;&gt;*Exclude*")),#N/A))</f>
        <v>#N/A</v>
      </c>
      <c r="AZ94" s="117" t="e">
        <f>IF($L$2="Yes",IFERROR((SUMIFS('DATA INPUT'!$C$3:$C$3000,'DATA INPUT'!$B$3:$B$3000,'Report Tables'!AX$1,'DATA INPUT'!$A$3:$A$3000,"&gt;="&amp;DATE(2024,8,1),'DATA INPUT'!$A$3:$A$3000,"&lt;"&amp;DATE(2024,8,31)))/COUNTIFS('DATA INPUT'!$B$3:$B$3000,'Report Tables'!AX$1,'DATA INPUT'!$A$3:$A$3000,"&gt;="&amp;DATE(2024,8,1),'DATA INPUT'!$A$3:$A$3000,"&lt;"&amp;DATE(2024,8,31)),#N/A),IFERROR((SUMIFS('DATA INPUT'!$C$3:$C$3000,'DATA INPUT'!$B$3:$B$3000,'Report Tables'!AX$1,'DATA INPUT'!$A$3:$A$3000,"&gt;="&amp;DATE(2024,8,1),'DATA INPUT'!$A$3:$A$3000,"&lt;"&amp;DATE(2024,8,31),'DATA INPUT'!$F$3:$F$3000,"&lt;&gt;*Exclude*"))/(COUNTIFS('DATA INPUT'!$B$3:$B$3000,'Report Tables'!AX$1,'DATA INPUT'!$A$3:$A$3000,"&gt;="&amp;DATE(2024,8,1),'DATA INPUT'!$A$3:$A$3000,"&lt;"&amp;DATE(2024,8,31),'DATA INPUT'!$F$3:$F$3000,"&lt;&gt;*Exclude*")),#N/A))</f>
        <v>#N/A</v>
      </c>
    </row>
    <row r="95" spans="25:52" x14ac:dyDescent="0.3">
      <c r="Y95" s="149"/>
      <c r="Z95" s="149" t="s">
        <v>20</v>
      </c>
      <c r="AA95" s="136" t="e">
        <f>IF($L$2="Yes",IF(SUMIFS('DATA INPUT'!$E$3:$E$3000,'DATA INPUT'!$B$3:$B$3000,'Report Tables'!AA$1,'DATA INPUT'!$A$3:$A$3000,"&gt;="&amp;DATE(2024,9,1),'DATA INPUT'!$A$3:$A$3000,"&lt;"&amp;DATE(2024,9,31))=0,#N/A,(SUMIFS('DATA INPUT'!$E$3:$E$3000,'DATA INPUT'!$B$3:$B$3000,'Report Tables'!AA$1,'DATA INPUT'!$A$3:$A$3000,"&gt;="&amp;DATE(2024,9,1),'DATA INPUT'!$A$3:$A$3000,"&lt;"&amp;DATE(2024,9,31)))),IF(SUMIFS('DATA INPUT'!$E$3:$E$3000,'DATA INPUT'!$B$3:$B$3000,'Report Tables'!AA$1,'DATA INPUT'!$A$3:$A$3000,"&gt;="&amp;DATE(2024,9,1),'DATA INPUT'!$A$3:$A$3000,"&lt;"&amp;DATE(2024,9,31),'DATA INPUT'!$F$3:$F$3000,"&lt;&gt;*Exclude*")=0,#N/A,(SUMIFS('DATA INPUT'!$E$3:$E$3000,'DATA INPUT'!$B$3:$B$3000,'Report Tables'!AA$1,'DATA INPUT'!$A$3:$A$3000,"&gt;="&amp;DATE(2024,9,1),'DATA INPUT'!$A$3:$A$3000,"&lt;"&amp;DATE(2024,9,31),'DATA INPUT'!$F$3:$F$3000,"&lt;&gt;*Exclude*"))))</f>
        <v>#N/A</v>
      </c>
      <c r="AB95" s="136" t="e">
        <f>IF($L$2="Yes",IF(SUMIFS('DATA INPUT'!$E$3:$E$3000,'DATA INPUT'!$B$3:$B$3000,'Report Tables'!AB$1,'DATA INPUT'!$A$3:$A$3000,"&gt;="&amp;DATE(2024,9,1),'DATA INPUT'!$A$3:$A$3000,"&lt;"&amp;DATE(2024,9,31))=0,#N/A,(SUMIFS('DATA INPUT'!$E$3:$E$3000,'DATA INPUT'!$B$3:$B$3000,'Report Tables'!AB$1,'DATA INPUT'!$A$3:$A$3000,"&gt;="&amp;DATE(2024,9,1),'DATA INPUT'!$A$3:$A$3000,"&lt;"&amp;DATE(2024,9,31)))),IF(SUMIFS('DATA INPUT'!$E$3:$E$3000,'DATA INPUT'!$B$3:$B$3000,'Report Tables'!AB$1,'DATA INPUT'!$A$3:$A$3000,"&gt;="&amp;DATE(2024,9,1),'DATA INPUT'!$A$3:$A$3000,"&lt;"&amp;DATE(2024,9,31),'DATA INPUT'!$F$3:$F$3000,"&lt;&gt;*Exclude*")=0,#N/A,(SUMIFS('DATA INPUT'!$E$3:$E$3000,'DATA INPUT'!$B$3:$B$3000,'Report Tables'!AB$1,'DATA INPUT'!$A$3:$A$3000,"&gt;="&amp;DATE(2024,9,1),'DATA INPUT'!$A$3:$A$3000,"&lt;"&amp;DATE(2024,9,31),'DATA INPUT'!$F$3:$F$3000,"&lt;&gt;*Exclude*"))))</f>
        <v>#N/A</v>
      </c>
      <c r="AC95" s="136" t="e">
        <f>IF($L$2="Yes",IF(SUMIFS('DATA INPUT'!$E$3:$E$3000,'DATA INPUT'!$B$3:$B$3000,'Report Tables'!AC$1,'DATA INPUT'!$A$3:$A$3000,"&gt;="&amp;DATE(2024,9,1),'DATA INPUT'!$A$3:$A$3000,"&lt;"&amp;DATE(2024,9,31))=0,#N/A,(SUMIFS('DATA INPUT'!$E$3:$E$3000,'DATA INPUT'!$B$3:$B$3000,'Report Tables'!AC$1,'DATA INPUT'!$A$3:$A$3000,"&gt;="&amp;DATE(2024,9,1),'DATA INPUT'!$A$3:$A$3000,"&lt;"&amp;DATE(2024,9,31)))),IF(SUMIFS('DATA INPUT'!$E$3:$E$3000,'DATA INPUT'!$B$3:$B$3000,'Report Tables'!AC$1,'DATA INPUT'!$A$3:$A$3000,"&gt;="&amp;DATE(2024,9,1),'DATA INPUT'!$A$3:$A$3000,"&lt;"&amp;DATE(2024,9,31),'DATA INPUT'!$F$3:$F$3000,"&lt;&gt;*Exclude*")=0,#N/A,(SUMIFS('DATA INPUT'!$E$3:$E$3000,'DATA INPUT'!$B$3:$B$3000,'Report Tables'!AC$1,'DATA INPUT'!$A$3:$A$3000,"&gt;="&amp;DATE(2024,9,1),'DATA INPUT'!$A$3:$A$3000,"&lt;"&amp;DATE(2024,9,31),'DATA INPUT'!$F$3:$F$3000,"&lt;&gt;*Exclude*"))))</f>
        <v>#N/A</v>
      </c>
      <c r="AD95" s="136" t="e">
        <f>IF($L$2="Yes",IF(SUMIFS('DATA INPUT'!$E$3:$E$3000,'DATA INPUT'!$B$3:$B$3000,'Report Tables'!AD$1,'DATA INPUT'!$A$3:$A$3000,"&gt;="&amp;DATE(2024,9,1),'DATA INPUT'!$A$3:$A$3000,"&lt;"&amp;DATE(2024,9,31))=0,#N/A,(SUMIFS('DATA INPUT'!$E$3:$E$3000,'DATA INPUT'!$B$3:$B$3000,'Report Tables'!AD$1,'DATA INPUT'!$A$3:$A$3000,"&gt;="&amp;DATE(2024,9,1),'DATA INPUT'!$A$3:$A$3000,"&lt;"&amp;DATE(2024,9,31)))),IF(SUMIFS('DATA INPUT'!$E$3:$E$3000,'DATA INPUT'!$B$3:$B$3000,'Report Tables'!AD$1,'DATA INPUT'!$A$3:$A$3000,"&gt;="&amp;DATE(2024,9,1),'DATA INPUT'!$A$3:$A$3000,"&lt;"&amp;DATE(2024,9,31),'DATA INPUT'!$F$3:$F$3000,"&lt;&gt;*Exclude*")=0,#N/A,(SUMIFS('DATA INPUT'!$E$3:$E$3000,'DATA INPUT'!$B$3:$B$3000,'Report Tables'!AD$1,'DATA INPUT'!$A$3:$A$3000,"&gt;="&amp;DATE(2024,9,1),'DATA INPUT'!$A$3:$A$3000,"&lt;"&amp;DATE(2024,9,31),'DATA INPUT'!$F$3:$F$3000,"&lt;&gt;*Exclude*"))))</f>
        <v>#N/A</v>
      </c>
      <c r="AE95" s="136" t="e">
        <f>IF($L$2="Yes",IF(SUMIFS('DATA INPUT'!$E$3:$E$3000,'DATA INPUT'!$B$3:$B$3000,'Report Tables'!AE$1,'DATA INPUT'!$A$3:$A$3000,"&gt;="&amp;DATE(2024,9,1),'DATA INPUT'!$A$3:$A$3000,"&lt;"&amp;DATE(2024,9,31))=0,#N/A,(SUMIFS('DATA INPUT'!$E$3:$E$3000,'DATA INPUT'!$B$3:$B$3000,'Report Tables'!AE$1,'DATA INPUT'!$A$3:$A$3000,"&gt;="&amp;DATE(2024,9,1),'DATA INPUT'!$A$3:$A$3000,"&lt;"&amp;DATE(2024,9,31)))),IF(SUMIFS('DATA INPUT'!$E$3:$E$3000,'DATA INPUT'!$B$3:$B$3000,'Report Tables'!AE$1,'DATA INPUT'!$A$3:$A$3000,"&gt;="&amp;DATE(2024,9,1),'DATA INPUT'!$A$3:$A$3000,"&lt;"&amp;DATE(2024,9,31),'DATA INPUT'!$F$3:$F$3000,"&lt;&gt;*Exclude*")=0,#N/A,(SUMIFS('DATA INPUT'!$E$3:$E$3000,'DATA INPUT'!$B$3:$B$3000,'Report Tables'!AE$1,'DATA INPUT'!$A$3:$A$3000,"&gt;="&amp;DATE(2024,9,1),'DATA INPUT'!$A$3:$A$3000,"&lt;"&amp;DATE(2024,9,31),'DATA INPUT'!$F$3:$F$3000,"&lt;&gt;*Exclude*"))))</f>
        <v>#N/A</v>
      </c>
      <c r="AF95" s="136" t="e">
        <f>IF($L$2="Yes",IF(SUMIFS('DATA INPUT'!$E$3:$E$3000,'DATA INPUT'!$B$3:$B$3000,'Report Tables'!AF$1,'DATA INPUT'!$A$3:$A$3000,"&gt;="&amp;DATE(2024,9,1),'DATA INPUT'!$A$3:$A$3000,"&lt;"&amp;DATE(2024,9,31))=0,#N/A,(SUMIFS('DATA INPUT'!$E$3:$E$3000,'DATA INPUT'!$B$3:$B$3000,'Report Tables'!AF$1,'DATA INPUT'!$A$3:$A$3000,"&gt;="&amp;DATE(2024,9,1),'DATA INPUT'!$A$3:$A$3000,"&lt;"&amp;DATE(2024,9,31)))),IF(SUMIFS('DATA INPUT'!$E$3:$E$3000,'DATA INPUT'!$B$3:$B$3000,'Report Tables'!AF$1,'DATA INPUT'!$A$3:$A$3000,"&gt;="&amp;DATE(2024,9,1),'DATA INPUT'!$A$3:$A$3000,"&lt;"&amp;DATE(2024,9,31),'DATA INPUT'!$F$3:$F$3000,"&lt;&gt;*Exclude*")=0,#N/A,(SUMIFS('DATA INPUT'!$E$3:$E$3000,'DATA INPUT'!$B$3:$B$3000,'Report Tables'!AF$1,'DATA INPUT'!$A$3:$A$3000,"&gt;="&amp;DATE(2024,9,1),'DATA INPUT'!$A$3:$A$3000,"&lt;"&amp;DATE(2024,9,31),'DATA INPUT'!$F$3:$F$3000,"&lt;&gt;*Exclude*"))))</f>
        <v>#N/A</v>
      </c>
      <c r="AG95" s="136" t="e">
        <f>IF($L$2="Yes",IF(SUMIFS('DATA INPUT'!$E$3:$E$3000,'DATA INPUT'!$B$3:$B$3000,'Report Tables'!AG$1,'DATA INPUT'!$A$3:$A$3000,"&gt;="&amp;DATE(2024,9,1),'DATA INPUT'!$A$3:$A$3000,"&lt;"&amp;DATE(2024,9,31))=0,#N/A,(SUMIFS('DATA INPUT'!$E$3:$E$3000,'DATA INPUT'!$B$3:$B$3000,'Report Tables'!AG$1,'DATA INPUT'!$A$3:$A$3000,"&gt;="&amp;DATE(2024,9,1),'DATA INPUT'!$A$3:$A$3000,"&lt;"&amp;DATE(2024,9,31)))),IF(SUMIFS('DATA INPUT'!$E$3:$E$3000,'DATA INPUT'!$B$3:$B$3000,'Report Tables'!AG$1,'DATA INPUT'!$A$3:$A$3000,"&gt;="&amp;DATE(2024,9,1),'DATA INPUT'!$A$3:$A$3000,"&lt;"&amp;DATE(2024,9,31),'DATA INPUT'!$F$3:$F$3000,"&lt;&gt;*Exclude*")=0,#N/A,(SUMIFS('DATA INPUT'!$E$3:$E$3000,'DATA INPUT'!$B$3:$B$3000,'Report Tables'!AG$1,'DATA INPUT'!$A$3:$A$3000,"&gt;="&amp;DATE(2024,9,1),'DATA INPUT'!$A$3:$A$3000,"&lt;"&amp;DATE(2024,9,31),'DATA INPUT'!$F$3:$F$3000,"&lt;&gt;*Exclude*"))))</f>
        <v>#N/A</v>
      </c>
      <c r="AH95" s="136" t="e">
        <f>IF($L$2="Yes",IF(SUMIFS('DATA INPUT'!$E$3:$E$3000,'DATA INPUT'!$B$3:$B$3000,'Report Tables'!AH$1,'DATA INPUT'!$A$3:$A$3000,"&gt;="&amp;DATE(2024,9,1),'DATA INPUT'!$A$3:$A$3000,"&lt;"&amp;DATE(2024,9,31))=0,#N/A,(SUMIFS('DATA INPUT'!$E$3:$E$3000,'DATA INPUT'!$B$3:$B$3000,'Report Tables'!AH$1,'DATA INPUT'!$A$3:$A$3000,"&gt;="&amp;DATE(2024,9,1),'DATA INPUT'!$A$3:$A$3000,"&lt;"&amp;DATE(2024,9,31)))),IF(SUMIFS('DATA INPUT'!$E$3:$E$3000,'DATA INPUT'!$B$3:$B$3000,'Report Tables'!AH$1,'DATA INPUT'!$A$3:$A$3000,"&gt;="&amp;DATE(2024,9,1),'DATA INPUT'!$A$3:$A$3000,"&lt;"&amp;DATE(2024,9,31),'DATA INPUT'!$F$3:$F$3000,"&lt;&gt;*Exclude*")=0,#N/A,(SUMIFS('DATA INPUT'!$E$3:$E$3000,'DATA INPUT'!$B$3:$B$3000,'Report Tables'!AH$1,'DATA INPUT'!$A$3:$A$3000,"&gt;="&amp;DATE(2024,9,1),'DATA INPUT'!$A$3:$A$3000,"&lt;"&amp;DATE(2024,9,31),'DATA INPUT'!$F$3:$F$3000,"&lt;&gt;*Exclude*"))))</f>
        <v>#N/A</v>
      </c>
      <c r="AI95" s="136" t="e">
        <f t="shared" si="23"/>
        <v>#N/A</v>
      </c>
      <c r="AJ95" s="136" t="e">
        <f>IF($L$2="Yes",IF(SUMIFS('DATA INPUT'!$D$3:$D$3000,'DATA INPUT'!$A$3:$A$3000,"&gt;="&amp;DATE(2024,9,1),'DATA INPUT'!$A$3:$A$3000,"&lt;"&amp;DATE(2024,9,31),'DATA INPUT'!$G$3:$G$3000,"&lt;&gt;*School service*")=0,#N/A,(SUMIFS('DATA INPUT'!$D$3:$D$3000,'DATA INPUT'!$A$3:$A$3000,"&gt;="&amp;DATE(2024,9,1),'DATA INPUT'!$A$3:$A$3000,"&lt;"&amp;DATE(2024,9,31),'DATA INPUT'!$G$3:$G$3000,"&lt;&gt;*School service*"))),IF(SUMIFS('DATA INPUT'!$D$3:$D$3000,'DATA INPUT'!$A$3:$A$3000,"&gt;="&amp;DATE(2024,9,1),'DATA INPUT'!$A$3:$A$3000,"&lt;"&amp;DATE(2024,9,31),'DATA INPUT'!$F$3:$F$3000,"&lt;&gt;*Exclude*",'DATA INPUT'!$G$3:$G$3000,"&lt;&gt;*School service*")=0,#N/A,(SUMIFS('DATA INPUT'!$D$3:$D$3000,'DATA INPUT'!$A$3:$A$3000,"&gt;="&amp;DATE(2024,9,1),'DATA INPUT'!$A$3:$A$3000,"&lt;"&amp;DATE(2024,9,31),'DATA INPUT'!$F$3:$F$3000,"&lt;&gt;*Exclude*",'DATA INPUT'!$G$3:$G$3000,"&lt;&gt;*School service*"))))</f>
        <v>#N/A</v>
      </c>
      <c r="AK95" s="136" t="e">
        <f>AI95-AJ95</f>
        <v>#N/A</v>
      </c>
      <c r="AM95" s="117" t="e">
        <f>IF($L$2="Yes",IFERROR((SUMIFS('DATA INPUT'!$E$3:$E$3000,'DATA INPUT'!$B$3:$B$3000,'Report Tables'!AM$1,'DATA INPUT'!$A$3:$A$3000,"&gt;="&amp;DATE(2024,9,1),'DATA INPUT'!$A$3:$A$3000,"&lt;"&amp;DATE(2024,9,31)))/COUNTIFS('DATA INPUT'!$B$3:$B$3000,'Report Tables'!AM$1,'DATA INPUT'!$A$3:$A$3000,"&gt;="&amp;DATE(2024,9,1),'DATA INPUT'!$A$3:$A$3000,"&lt;"&amp;DATE(2024,9,31)),#N/A),IFERROR((SUMIFS('DATA INPUT'!$E$3:$E$3000,'DATA INPUT'!$B$3:$B$3000,'Report Tables'!AM$1,'DATA INPUT'!$A$3:$A$3000,"&gt;="&amp;DATE(2024,9,1),'DATA INPUT'!$A$3:$A$3000,"&lt;"&amp;DATE(2024,9,31),'DATA INPUT'!$F$3:$F$3000,"&lt;&gt;*Exclude*"))/(COUNTIFS('DATA INPUT'!$B$3:$B$3000,'Report Tables'!AM$1,'DATA INPUT'!$A$3:$A$3000,"&gt;="&amp;DATE(2024,9,1),'DATA INPUT'!$A$3:$A$3000,"&lt;"&amp;DATE(2024,9,31),'DATA INPUT'!$F$3:$F$3000,"&lt;&gt;*Exclude*")),#N/A))</f>
        <v>#N/A</v>
      </c>
      <c r="AN95" s="117" t="e">
        <f>IF($L$2="Yes",IFERROR((SUMIFS('DATA INPUT'!$E$3:$E$3000,'DATA INPUT'!$B$3:$B$3000,'Report Tables'!AN$1,'DATA INPUT'!$A$3:$A$3000,"&gt;="&amp;DATE(2024,9,1),'DATA INPUT'!$A$3:$A$3000,"&lt;"&amp;DATE(2024,9,31)))/COUNTIFS('DATA INPUT'!$B$3:$B$3000,'Report Tables'!AN$1,'DATA INPUT'!$A$3:$A$3000,"&gt;="&amp;DATE(2024,9,1),'DATA INPUT'!$A$3:$A$3000,"&lt;"&amp;DATE(2024,9,31)),#N/A),IFERROR((SUMIFS('DATA INPUT'!$E$3:$E$3000,'DATA INPUT'!$B$3:$B$3000,'Report Tables'!AN$1,'DATA INPUT'!$A$3:$A$3000,"&gt;="&amp;DATE(2024,9,1),'DATA INPUT'!$A$3:$A$3000,"&lt;"&amp;DATE(2024,9,31),'DATA INPUT'!$F$3:$F$3000,"&lt;&gt;*Exclude*"))/(COUNTIFS('DATA INPUT'!$B$3:$B$3000,'Report Tables'!AN$1,'DATA INPUT'!$A$3:$A$3000,"&gt;="&amp;DATE(2024,9,1),'DATA INPUT'!$A$3:$A$3000,"&lt;"&amp;DATE(2024,9,31),'DATA INPUT'!$F$3:$F$3000,"&lt;&gt;*Exclude*")),#N/A))</f>
        <v>#N/A</v>
      </c>
      <c r="AO95" s="117" t="e">
        <f>IF($L$2="Yes",IFERROR((SUMIFS('DATA INPUT'!$E$3:$E$3000,'DATA INPUT'!$B$3:$B$3000,'Report Tables'!AO$1,'DATA INPUT'!$A$3:$A$3000,"&gt;="&amp;DATE(2024,9,1),'DATA INPUT'!$A$3:$A$3000,"&lt;"&amp;DATE(2024,9,31)))/COUNTIFS('DATA INPUT'!$B$3:$B$3000,'Report Tables'!AO$1,'DATA INPUT'!$A$3:$A$3000,"&gt;="&amp;DATE(2024,9,1),'DATA INPUT'!$A$3:$A$3000,"&lt;"&amp;DATE(2024,9,31)),#N/A),IFERROR((SUMIFS('DATA INPUT'!$E$3:$E$3000,'DATA INPUT'!$B$3:$B$3000,'Report Tables'!AO$1,'DATA INPUT'!$A$3:$A$3000,"&gt;="&amp;DATE(2024,9,1),'DATA INPUT'!$A$3:$A$3000,"&lt;"&amp;DATE(2024,9,31),'DATA INPUT'!$F$3:$F$3000,"&lt;&gt;*Exclude*"))/(COUNTIFS('DATA INPUT'!$B$3:$B$3000,'Report Tables'!AO$1,'DATA INPUT'!$A$3:$A$3000,"&gt;="&amp;DATE(2024,9,1),'DATA INPUT'!$A$3:$A$3000,"&lt;"&amp;DATE(2024,9,31),'DATA INPUT'!$F$3:$F$3000,"&lt;&gt;*Exclude*")),#N/A))</f>
        <v>#N/A</v>
      </c>
      <c r="AP95" s="117" t="e">
        <f>IF($L$2="Yes",IFERROR((SUMIFS('DATA INPUT'!$E$3:$E$3000,'DATA INPUT'!$B$3:$B$3000,'Report Tables'!AP$1,'DATA INPUT'!$A$3:$A$3000,"&gt;="&amp;DATE(2024,9,1),'DATA INPUT'!$A$3:$A$3000,"&lt;"&amp;DATE(2024,9,31)))/COUNTIFS('DATA INPUT'!$B$3:$B$3000,'Report Tables'!AP$1,'DATA INPUT'!$A$3:$A$3000,"&gt;="&amp;DATE(2024,9,1),'DATA INPUT'!$A$3:$A$3000,"&lt;"&amp;DATE(2024,9,31)),#N/A),IFERROR((SUMIFS('DATA INPUT'!$E$3:$E$3000,'DATA INPUT'!$B$3:$B$3000,'Report Tables'!AP$1,'DATA INPUT'!$A$3:$A$3000,"&gt;="&amp;DATE(2024,9,1),'DATA INPUT'!$A$3:$A$3000,"&lt;"&amp;DATE(2024,9,31),'DATA INPUT'!$F$3:$F$3000,"&lt;&gt;*Exclude*"))/(COUNTIFS('DATA INPUT'!$B$3:$B$3000,'Report Tables'!AP$1,'DATA INPUT'!$A$3:$A$3000,"&gt;="&amp;DATE(2024,9,1),'DATA INPUT'!$A$3:$A$3000,"&lt;"&amp;DATE(2024,9,31),'DATA INPUT'!$F$3:$F$3000,"&lt;&gt;*Exclude*")),#N/A))</f>
        <v>#N/A</v>
      </c>
      <c r="AQ95" s="117" t="e">
        <f>IF($L$2="Yes",IFERROR((SUMIFS('DATA INPUT'!$E$3:$E$3000,'DATA INPUT'!$B$3:$B$3000,'Report Tables'!AQ$1,'DATA INPUT'!$A$3:$A$3000,"&gt;="&amp;DATE(2024,9,1),'DATA INPUT'!$A$3:$A$3000,"&lt;"&amp;DATE(2024,9,31)))/COUNTIFS('DATA INPUT'!$B$3:$B$3000,'Report Tables'!AQ$1,'DATA INPUT'!$A$3:$A$3000,"&gt;="&amp;DATE(2024,9,1),'DATA INPUT'!$A$3:$A$3000,"&lt;"&amp;DATE(2024,9,31)),#N/A),IFERROR((SUMIFS('DATA INPUT'!$E$3:$E$3000,'DATA INPUT'!$B$3:$B$3000,'Report Tables'!AQ$1,'DATA INPUT'!$A$3:$A$3000,"&gt;="&amp;DATE(2024,9,1),'DATA INPUT'!$A$3:$A$3000,"&lt;"&amp;DATE(2024,9,31),'DATA INPUT'!$F$3:$F$3000,"&lt;&gt;*Exclude*"))/(COUNTIFS('DATA INPUT'!$B$3:$B$3000,'Report Tables'!AQ$1,'DATA INPUT'!$A$3:$A$3000,"&gt;="&amp;DATE(2024,9,1),'DATA INPUT'!$A$3:$A$3000,"&lt;"&amp;DATE(2024,9,31),'DATA INPUT'!$F$3:$F$3000,"&lt;&gt;*Exclude*")),#N/A))</f>
        <v>#N/A</v>
      </c>
      <c r="AR95" s="117" t="e">
        <f>IF($L$2="Yes",IFERROR((SUMIFS('DATA INPUT'!$E$3:$E$3000,'DATA INPUT'!$B$3:$B$3000,'Report Tables'!AR$1,'DATA INPUT'!$A$3:$A$3000,"&gt;="&amp;DATE(2024,9,1),'DATA INPUT'!$A$3:$A$3000,"&lt;"&amp;DATE(2024,9,31)))/COUNTIFS('DATA INPUT'!$B$3:$B$3000,'Report Tables'!AR$1,'DATA INPUT'!$A$3:$A$3000,"&gt;="&amp;DATE(2024,9,1),'DATA INPUT'!$A$3:$A$3000,"&lt;"&amp;DATE(2024,9,31)),#N/A),IFERROR((SUMIFS('DATA INPUT'!$E$3:$E$3000,'DATA INPUT'!$B$3:$B$3000,'Report Tables'!AR$1,'DATA INPUT'!$A$3:$A$3000,"&gt;="&amp;DATE(2024,9,1),'DATA INPUT'!$A$3:$A$3000,"&lt;"&amp;DATE(2024,9,31),'DATA INPUT'!$F$3:$F$3000,"&lt;&gt;*Exclude*"))/(COUNTIFS('DATA INPUT'!$B$3:$B$3000,'Report Tables'!AR$1,'DATA INPUT'!$A$3:$A$3000,"&gt;="&amp;DATE(2024,9,1),'DATA INPUT'!$A$3:$A$3000,"&lt;"&amp;DATE(2024,9,31),'DATA INPUT'!$F$3:$F$3000,"&lt;&gt;*Exclude*")),#N/A))</f>
        <v>#N/A</v>
      </c>
      <c r="AS95" s="117" t="e">
        <f>IF($L$2="Yes",IFERROR((SUMIFS('DATA INPUT'!$E$3:$E$3000,'DATA INPUT'!$B$3:$B$3000,'Report Tables'!AS$1,'DATA INPUT'!$A$3:$A$3000,"&gt;="&amp;DATE(2024,9,1),'DATA INPUT'!$A$3:$A$3000,"&lt;"&amp;DATE(2024,9,31)))/COUNTIFS('DATA INPUT'!$B$3:$B$3000,'Report Tables'!AS$1,'DATA INPUT'!$A$3:$A$3000,"&gt;="&amp;DATE(2024,9,1),'DATA INPUT'!$A$3:$A$3000,"&lt;"&amp;DATE(2024,9,31)),#N/A),IFERROR((SUMIFS('DATA INPUT'!$E$3:$E$3000,'DATA INPUT'!$B$3:$B$3000,'Report Tables'!AS$1,'DATA INPUT'!$A$3:$A$3000,"&gt;="&amp;DATE(2024,9,1),'DATA INPUT'!$A$3:$A$3000,"&lt;"&amp;DATE(2024,9,31),'DATA INPUT'!$F$3:$F$3000,"&lt;&gt;*Exclude*"))/(COUNTIFS('DATA INPUT'!$B$3:$B$3000,'Report Tables'!AS$1,'DATA INPUT'!$A$3:$A$3000,"&gt;="&amp;DATE(2024,9,1),'DATA INPUT'!$A$3:$A$3000,"&lt;"&amp;DATE(2024,9,31),'DATA INPUT'!$F$3:$F$3000,"&lt;&gt;*Exclude*")),#N/A))</f>
        <v>#N/A</v>
      </c>
      <c r="AT95" s="117" t="e">
        <f>IF($L$2="Yes",IFERROR((SUMIFS('DATA INPUT'!$E$3:$E$3000,'DATA INPUT'!$B$3:$B$3000,'Report Tables'!AT$1,'DATA INPUT'!$A$3:$A$3000,"&gt;="&amp;DATE(2024,9,1),'DATA INPUT'!$A$3:$A$3000,"&lt;"&amp;DATE(2024,9,31)))/COUNTIFS('DATA INPUT'!$B$3:$B$3000,'Report Tables'!AT$1,'DATA INPUT'!$A$3:$A$3000,"&gt;="&amp;DATE(2024,9,1),'DATA INPUT'!$A$3:$A$3000,"&lt;"&amp;DATE(2024,9,31)),#N/A),IFERROR((SUMIFS('DATA INPUT'!$E$3:$E$3000,'DATA INPUT'!$B$3:$B$3000,'Report Tables'!AT$1,'DATA INPUT'!$A$3:$A$3000,"&gt;="&amp;DATE(2024,9,1),'DATA INPUT'!$A$3:$A$3000,"&lt;"&amp;DATE(2024,9,31),'DATA INPUT'!$F$3:$F$3000,"&lt;&gt;*Exclude*"))/(COUNTIFS('DATA INPUT'!$B$3:$B$3000,'Report Tables'!AT$1,'DATA INPUT'!$A$3:$A$3000,"&gt;="&amp;DATE(2024,9,1),'DATA INPUT'!$A$3:$A$3000,"&lt;"&amp;DATE(2024,9,31),'DATA INPUT'!$F$3:$F$3000,"&lt;&gt;*Exclude*")),#N/A))</f>
        <v>#N/A</v>
      </c>
      <c r="AU95" s="117" t="e">
        <f t="shared" si="24"/>
        <v>#N/A</v>
      </c>
      <c r="AV95" s="117" t="e">
        <f>IF($L$2="Yes",IFERROR((SUMIFS('DATA INPUT'!$D$3:$D$3000,'DATA INPUT'!$A$3:$A$3000,"&gt;="&amp;DATE(2024,9,1),'DATA INPUT'!$A$3:$A$3000,"&lt;"&amp;DATE(2024,9,31),'DATA INPUT'!$G$3:$G$3000,"&lt;&gt;*School service*"))/COUNTIFS('DATA INPUT'!$A$3:$A$3000,"&gt;="&amp;DATE(2024,9,1),'DATA INPUT'!$A$3:$A$3000,"&lt;"&amp;DATE(2024,9,31),'DATA INPUT'!$G$3:$G$3000,"&lt;&gt;*School service*",'DATA INPUT'!$D$3:$D$3000,"&lt;&gt;"&amp;""),#N/A),IFERROR((SUMIFS('DATA INPUT'!$D$3:$D$3000,'DATA INPUT'!$A$3:$A$3000,"&gt;="&amp;DATE(2024,9,1),'DATA INPUT'!$A$3:$A$3000,"&lt;"&amp;DATE(2024,9,31),'DATA INPUT'!$F$3:$F$3000,"&lt;&gt;*Exclude*",'DATA INPUT'!$G$3:$G$3000,"&lt;&gt;*School service*"))/(COUNTIFS('DATA INPUT'!$A$3:$A$3000,"&gt;="&amp;DATE(2024,9,1),'DATA INPUT'!$A$3:$A$3000,"&lt;"&amp;DATE(2024,9,31),'DATA INPUT'!$F$3:$F$3000,"&lt;&gt;*Exclude*",'DATA INPUT'!$G$3:$G$3000,"&lt;&gt;*School service*",'DATA INPUT'!$D$3:$D$3000,"&lt;&gt;"&amp;"")),#N/A))</f>
        <v>#N/A</v>
      </c>
      <c r="AW95" s="117" t="e">
        <f t="shared" si="25"/>
        <v>#N/A</v>
      </c>
      <c r="AX95" s="117" t="e">
        <f>IF($L$2="Yes",IFERROR((SUMIFS('DATA INPUT'!$E$3:$E$3000,'DATA INPUT'!$B$3:$B$3000,'Report Tables'!AX$1,'DATA INPUT'!$A$3:$A$3000,"&gt;="&amp;DATE(2024,9,1),'DATA INPUT'!$A$3:$A$3000,"&lt;"&amp;DATE(2024,9,31)))/COUNTIFS('DATA INPUT'!$B$3:$B$3000,'Report Tables'!AX$1,'DATA INPUT'!$A$3:$A$3000,"&gt;="&amp;DATE(2024,9,1),'DATA INPUT'!$A$3:$A$3000,"&lt;"&amp;DATE(2024,9,31)),#N/A),IFERROR((SUMIFS('DATA INPUT'!$E$3:$E$3000,'DATA INPUT'!$B$3:$B$3000,'Report Tables'!AX$1,'DATA INPUT'!$A$3:$A$3000,"&gt;="&amp;DATE(2024,9,1),'DATA INPUT'!$A$3:$A$3000,"&lt;"&amp;DATE(2024,9,31),'DATA INPUT'!$F$3:$F$3000,"&lt;&gt;*Exclude*"))/(COUNTIFS('DATA INPUT'!$B$3:$B$3000,'Report Tables'!AX$1,'DATA INPUT'!$A$3:$A$3000,"&gt;="&amp;DATE(2024,9,1),'DATA INPUT'!$A$3:$A$3000,"&lt;"&amp;DATE(2024,9,31),'DATA INPUT'!$F$3:$F$3000,"&lt;&gt;*Exclude*")),#N/A))</f>
        <v>#N/A</v>
      </c>
      <c r="AY95" s="117" t="e">
        <f>IF($L$2="Yes",IFERROR((SUMIFS('DATA INPUT'!$D$3:$D$3000,'DATA INPUT'!$B$3:$B$3000,'Report Tables'!AX$1,'DATA INPUT'!$A$3:$A$3000,"&gt;="&amp;DATE(2024,9,1),'DATA INPUT'!$A$3:$A$3000,"&lt;"&amp;DATE(2024,9,31)))/COUNTIFS('DATA INPUT'!$B$3:$B$3000,'Report Tables'!AX$1,'DATA INPUT'!$A$3:$A$3000,"&gt;="&amp;DATE(2024,9,1),'DATA INPUT'!$A$3:$A$3000,"&lt;"&amp;DATE(2024,9,31)),#N/A),IFERROR((SUMIFS('DATA INPUT'!$D$3:$D$3000,'DATA INPUT'!$B$3:$B$3000,'Report Tables'!AX$1,'DATA INPUT'!$A$3:$A$3000,"&gt;="&amp;DATE(2024,9,1),'DATA INPUT'!$A$3:$A$3000,"&lt;"&amp;DATE(2024,9,31),'DATA INPUT'!$F$3:$F$3000,"&lt;&gt;*Exclude*"))/(COUNTIFS('DATA INPUT'!$B$3:$B$3000,'Report Tables'!AX$1,'DATA INPUT'!$A$3:$A$3000,"&gt;="&amp;DATE(2024,9,1),'DATA INPUT'!$A$3:$A$3000,"&lt;"&amp;DATE(2024,9,31),'DATA INPUT'!$F$3:$F$3000,"&lt;&gt;*Exclude*")),#N/A))</f>
        <v>#N/A</v>
      </c>
      <c r="AZ95" s="117" t="e">
        <f>IF($L$2="Yes",IFERROR((SUMIFS('DATA INPUT'!$C$3:$C$3000,'DATA INPUT'!$B$3:$B$3000,'Report Tables'!AX$1,'DATA INPUT'!$A$3:$A$3000,"&gt;="&amp;DATE(2024,9,1),'DATA INPUT'!$A$3:$A$3000,"&lt;"&amp;DATE(2024,9,31)))/COUNTIFS('DATA INPUT'!$B$3:$B$3000,'Report Tables'!AX$1,'DATA INPUT'!$A$3:$A$3000,"&gt;="&amp;DATE(2024,9,1),'DATA INPUT'!$A$3:$A$3000,"&lt;"&amp;DATE(2024,9,31)),#N/A),IFERROR((SUMIFS('DATA INPUT'!$C$3:$C$3000,'DATA INPUT'!$B$3:$B$3000,'Report Tables'!AX$1,'DATA INPUT'!$A$3:$A$3000,"&gt;="&amp;DATE(2024,9,1),'DATA INPUT'!$A$3:$A$3000,"&lt;"&amp;DATE(2024,9,31),'DATA INPUT'!$F$3:$F$3000,"&lt;&gt;*Exclude*"))/(COUNTIFS('DATA INPUT'!$B$3:$B$3000,'Report Tables'!AX$1,'DATA INPUT'!$A$3:$A$3000,"&gt;="&amp;DATE(2024,9,1),'DATA INPUT'!$A$3:$A$3000,"&lt;"&amp;DATE(2024,9,31),'DATA INPUT'!$F$3:$F$3000,"&lt;&gt;*Exclude*")),#N/A))</f>
        <v>#N/A</v>
      </c>
    </row>
    <row r="96" spans="25:52" x14ac:dyDescent="0.3">
      <c r="Y96" s="149"/>
      <c r="Z96" s="149" t="s">
        <v>21</v>
      </c>
      <c r="AA96" s="136" t="e">
        <f>IF($L$2="Yes",IF(SUMIFS('DATA INPUT'!$E$3:$E$3000,'DATA INPUT'!$B$3:$B$3000,'Report Tables'!AA$1,'DATA INPUT'!$A$3:$A$3000,"&gt;="&amp;DATE(2024,10,1),'DATA INPUT'!$A$3:$A$3000,"&lt;"&amp;DATE(2024,10,31))=0,#N/A,(SUMIFS('DATA INPUT'!$E$3:$E$3000,'DATA INPUT'!$B$3:$B$3000,'Report Tables'!AA$1,'DATA INPUT'!$A$3:$A$3000,"&gt;="&amp;DATE(2024,10,1),'DATA INPUT'!$A$3:$A$3000,"&lt;"&amp;DATE(2024,10,31)))),IF(SUMIFS('DATA INPUT'!$E$3:$E$3000,'DATA INPUT'!$B$3:$B$3000,'Report Tables'!AA$1,'DATA INPUT'!$A$3:$A$3000,"&gt;="&amp;DATE(2024,10,1),'DATA INPUT'!$A$3:$A$3000,"&lt;"&amp;DATE(2024,10,31),'DATA INPUT'!$F$3:$F$3000,"&lt;&gt;*Exclude*")=0,#N/A,(SUMIFS('DATA INPUT'!$E$3:$E$3000,'DATA INPUT'!$B$3:$B$3000,'Report Tables'!AA$1,'DATA INPUT'!$A$3:$A$3000,"&gt;="&amp;DATE(2024,10,1),'DATA INPUT'!$A$3:$A$3000,"&lt;"&amp;DATE(2024,10,31),'DATA INPUT'!$F$3:$F$3000,"&lt;&gt;*Exclude*"))))</f>
        <v>#N/A</v>
      </c>
      <c r="AB96" s="136" t="e">
        <f>IF($L$2="Yes",IF(SUMIFS('DATA INPUT'!$E$3:$E$3000,'DATA INPUT'!$B$3:$B$3000,'Report Tables'!AB$1,'DATA INPUT'!$A$3:$A$3000,"&gt;="&amp;DATE(2024,10,1),'DATA INPUT'!$A$3:$A$3000,"&lt;"&amp;DATE(2024,10,31))=0,#N/A,(SUMIFS('DATA INPUT'!$E$3:$E$3000,'DATA INPUT'!$B$3:$B$3000,'Report Tables'!AB$1,'DATA INPUT'!$A$3:$A$3000,"&gt;="&amp;DATE(2024,10,1),'DATA INPUT'!$A$3:$A$3000,"&lt;"&amp;DATE(2024,10,31)))),IF(SUMIFS('DATA INPUT'!$E$3:$E$3000,'DATA INPUT'!$B$3:$B$3000,'Report Tables'!AB$1,'DATA INPUT'!$A$3:$A$3000,"&gt;="&amp;DATE(2024,10,1),'DATA INPUT'!$A$3:$A$3000,"&lt;"&amp;DATE(2024,10,31),'DATA INPUT'!$F$3:$F$3000,"&lt;&gt;*Exclude*")=0,#N/A,(SUMIFS('DATA INPUT'!$E$3:$E$3000,'DATA INPUT'!$B$3:$B$3000,'Report Tables'!AB$1,'DATA INPUT'!$A$3:$A$3000,"&gt;="&amp;DATE(2024,10,1),'DATA INPUT'!$A$3:$A$3000,"&lt;"&amp;DATE(2024,10,31),'DATA INPUT'!$F$3:$F$3000,"&lt;&gt;*Exclude*"))))</f>
        <v>#N/A</v>
      </c>
      <c r="AC96" s="136" t="e">
        <f>IF($L$2="Yes",IF(SUMIFS('DATA INPUT'!$E$3:$E$3000,'DATA INPUT'!$B$3:$B$3000,'Report Tables'!AC$1,'DATA INPUT'!$A$3:$A$3000,"&gt;="&amp;DATE(2024,10,1),'DATA INPUT'!$A$3:$A$3000,"&lt;"&amp;DATE(2024,10,31))=0,#N/A,(SUMIFS('DATA INPUT'!$E$3:$E$3000,'DATA INPUT'!$B$3:$B$3000,'Report Tables'!AC$1,'DATA INPUT'!$A$3:$A$3000,"&gt;="&amp;DATE(2024,10,1),'DATA INPUT'!$A$3:$A$3000,"&lt;"&amp;DATE(2024,10,31)))),IF(SUMIFS('DATA INPUT'!$E$3:$E$3000,'DATA INPUT'!$B$3:$B$3000,'Report Tables'!AC$1,'DATA INPUT'!$A$3:$A$3000,"&gt;="&amp;DATE(2024,10,1),'DATA INPUT'!$A$3:$A$3000,"&lt;"&amp;DATE(2024,10,31),'DATA INPUT'!$F$3:$F$3000,"&lt;&gt;*Exclude*")=0,#N/A,(SUMIFS('DATA INPUT'!$E$3:$E$3000,'DATA INPUT'!$B$3:$B$3000,'Report Tables'!AC$1,'DATA INPUT'!$A$3:$A$3000,"&gt;="&amp;DATE(2024,10,1),'DATA INPUT'!$A$3:$A$3000,"&lt;"&amp;DATE(2024,10,31),'DATA INPUT'!$F$3:$F$3000,"&lt;&gt;*Exclude*"))))</f>
        <v>#N/A</v>
      </c>
      <c r="AD96" s="136" t="e">
        <f>IF($L$2="Yes",IF(SUMIFS('DATA INPUT'!$E$3:$E$3000,'DATA INPUT'!$B$3:$B$3000,'Report Tables'!AD$1,'DATA INPUT'!$A$3:$A$3000,"&gt;="&amp;DATE(2024,10,1),'DATA INPUT'!$A$3:$A$3000,"&lt;"&amp;DATE(2024,10,31))=0,#N/A,(SUMIFS('DATA INPUT'!$E$3:$E$3000,'DATA INPUT'!$B$3:$B$3000,'Report Tables'!AD$1,'DATA INPUT'!$A$3:$A$3000,"&gt;="&amp;DATE(2024,10,1),'DATA INPUT'!$A$3:$A$3000,"&lt;"&amp;DATE(2024,10,31)))),IF(SUMIFS('DATA INPUT'!$E$3:$E$3000,'DATA INPUT'!$B$3:$B$3000,'Report Tables'!AD$1,'DATA INPUT'!$A$3:$A$3000,"&gt;="&amp;DATE(2024,10,1),'DATA INPUT'!$A$3:$A$3000,"&lt;"&amp;DATE(2024,10,31),'DATA INPUT'!$F$3:$F$3000,"&lt;&gt;*Exclude*")=0,#N/A,(SUMIFS('DATA INPUT'!$E$3:$E$3000,'DATA INPUT'!$B$3:$B$3000,'Report Tables'!AD$1,'DATA INPUT'!$A$3:$A$3000,"&gt;="&amp;DATE(2024,10,1),'DATA INPUT'!$A$3:$A$3000,"&lt;"&amp;DATE(2024,10,31),'DATA INPUT'!$F$3:$F$3000,"&lt;&gt;*Exclude*"))))</f>
        <v>#N/A</v>
      </c>
      <c r="AE96" s="136" t="e">
        <f>IF($L$2="Yes",IF(SUMIFS('DATA INPUT'!$E$3:$E$3000,'DATA INPUT'!$B$3:$B$3000,'Report Tables'!AE$1,'DATA INPUT'!$A$3:$A$3000,"&gt;="&amp;DATE(2024,10,1),'DATA INPUT'!$A$3:$A$3000,"&lt;"&amp;DATE(2024,10,31))=0,#N/A,(SUMIFS('DATA INPUT'!$E$3:$E$3000,'DATA INPUT'!$B$3:$B$3000,'Report Tables'!AE$1,'DATA INPUT'!$A$3:$A$3000,"&gt;="&amp;DATE(2024,10,1),'DATA INPUT'!$A$3:$A$3000,"&lt;"&amp;DATE(2024,10,31)))),IF(SUMIFS('DATA INPUT'!$E$3:$E$3000,'DATA INPUT'!$B$3:$B$3000,'Report Tables'!AE$1,'DATA INPUT'!$A$3:$A$3000,"&gt;="&amp;DATE(2024,10,1),'DATA INPUT'!$A$3:$A$3000,"&lt;"&amp;DATE(2024,10,31),'DATA INPUT'!$F$3:$F$3000,"&lt;&gt;*Exclude*")=0,#N/A,(SUMIFS('DATA INPUT'!$E$3:$E$3000,'DATA INPUT'!$B$3:$B$3000,'Report Tables'!AE$1,'DATA INPUT'!$A$3:$A$3000,"&gt;="&amp;DATE(2024,10,1),'DATA INPUT'!$A$3:$A$3000,"&lt;"&amp;DATE(2024,10,31),'DATA INPUT'!$F$3:$F$3000,"&lt;&gt;*Exclude*"))))</f>
        <v>#N/A</v>
      </c>
      <c r="AF96" s="136" t="e">
        <f>IF($L$2="Yes",IF(SUMIFS('DATA INPUT'!$E$3:$E$3000,'DATA INPUT'!$B$3:$B$3000,'Report Tables'!AF$1,'DATA INPUT'!$A$3:$A$3000,"&gt;="&amp;DATE(2024,10,1),'DATA INPUT'!$A$3:$A$3000,"&lt;"&amp;DATE(2024,10,31))=0,#N/A,(SUMIFS('DATA INPUT'!$E$3:$E$3000,'DATA INPUT'!$B$3:$B$3000,'Report Tables'!AF$1,'DATA INPUT'!$A$3:$A$3000,"&gt;="&amp;DATE(2024,10,1),'DATA INPUT'!$A$3:$A$3000,"&lt;"&amp;DATE(2024,10,31)))),IF(SUMIFS('DATA INPUT'!$E$3:$E$3000,'DATA INPUT'!$B$3:$B$3000,'Report Tables'!AF$1,'DATA INPUT'!$A$3:$A$3000,"&gt;="&amp;DATE(2024,10,1),'DATA INPUT'!$A$3:$A$3000,"&lt;"&amp;DATE(2024,10,31),'DATA INPUT'!$F$3:$F$3000,"&lt;&gt;*Exclude*")=0,#N/A,(SUMIFS('DATA INPUT'!$E$3:$E$3000,'DATA INPUT'!$B$3:$B$3000,'Report Tables'!AF$1,'DATA INPUT'!$A$3:$A$3000,"&gt;="&amp;DATE(2024,10,1),'DATA INPUT'!$A$3:$A$3000,"&lt;"&amp;DATE(2024,10,31),'DATA INPUT'!$F$3:$F$3000,"&lt;&gt;*Exclude*"))))</f>
        <v>#N/A</v>
      </c>
      <c r="AG96" s="136" t="e">
        <f>IF($L$2="Yes",IF(SUMIFS('DATA INPUT'!$E$3:$E$3000,'DATA INPUT'!$B$3:$B$3000,'Report Tables'!AG$1,'DATA INPUT'!$A$3:$A$3000,"&gt;="&amp;DATE(2024,10,1),'DATA INPUT'!$A$3:$A$3000,"&lt;"&amp;DATE(2024,10,31))=0,#N/A,(SUMIFS('DATA INPUT'!$E$3:$E$3000,'DATA INPUT'!$B$3:$B$3000,'Report Tables'!AG$1,'DATA INPUT'!$A$3:$A$3000,"&gt;="&amp;DATE(2024,10,1),'DATA INPUT'!$A$3:$A$3000,"&lt;"&amp;DATE(2024,10,31)))),IF(SUMIFS('DATA INPUT'!$E$3:$E$3000,'DATA INPUT'!$B$3:$B$3000,'Report Tables'!AG$1,'DATA INPUT'!$A$3:$A$3000,"&gt;="&amp;DATE(2024,10,1),'DATA INPUT'!$A$3:$A$3000,"&lt;"&amp;DATE(2024,10,31),'DATA INPUT'!$F$3:$F$3000,"&lt;&gt;*Exclude*")=0,#N/A,(SUMIFS('DATA INPUT'!$E$3:$E$3000,'DATA INPUT'!$B$3:$B$3000,'Report Tables'!AG$1,'DATA INPUT'!$A$3:$A$3000,"&gt;="&amp;DATE(2024,10,1),'DATA INPUT'!$A$3:$A$3000,"&lt;"&amp;DATE(2024,10,31),'DATA INPUT'!$F$3:$F$3000,"&lt;&gt;*Exclude*"))))</f>
        <v>#N/A</v>
      </c>
      <c r="AH96" s="136" t="e">
        <f>IF($L$2="Yes",IF(SUMIFS('DATA INPUT'!$E$3:$E$3000,'DATA INPUT'!$B$3:$B$3000,'Report Tables'!AH$1,'DATA INPUT'!$A$3:$A$3000,"&gt;="&amp;DATE(2024,10,1),'DATA INPUT'!$A$3:$A$3000,"&lt;"&amp;DATE(2024,10,31))=0,#N/A,(SUMIFS('DATA INPUT'!$E$3:$E$3000,'DATA INPUT'!$B$3:$B$3000,'Report Tables'!AH$1,'DATA INPUT'!$A$3:$A$3000,"&gt;="&amp;DATE(2024,10,1),'DATA INPUT'!$A$3:$A$3000,"&lt;"&amp;DATE(2024,10,31)))),IF(SUMIFS('DATA INPUT'!$E$3:$E$3000,'DATA INPUT'!$B$3:$B$3000,'Report Tables'!AH$1,'DATA INPUT'!$A$3:$A$3000,"&gt;="&amp;DATE(2024,10,1),'DATA INPUT'!$A$3:$A$3000,"&lt;"&amp;DATE(2024,10,31),'DATA INPUT'!$F$3:$F$3000,"&lt;&gt;*Exclude*")=0,#N/A,(SUMIFS('DATA INPUT'!$E$3:$E$3000,'DATA INPUT'!$B$3:$B$3000,'Report Tables'!AH$1,'DATA INPUT'!$A$3:$A$3000,"&gt;="&amp;DATE(2024,10,1),'DATA INPUT'!$A$3:$A$3000,"&lt;"&amp;DATE(2024,10,31),'DATA INPUT'!$F$3:$F$3000,"&lt;&gt;*Exclude*"))))</f>
        <v>#N/A</v>
      </c>
      <c r="AI96" s="136" t="e">
        <f t="shared" si="23"/>
        <v>#N/A</v>
      </c>
      <c r="AJ96" s="136" t="e">
        <f>IF($L$2="Yes",IF(SUMIFS('DATA INPUT'!$D$3:$D$3000,'DATA INPUT'!$A$3:$A$3000,"&gt;="&amp;DATE(2024,10,1),'DATA INPUT'!$A$3:$A$3000,"&lt;"&amp;DATE(2024,10,31),'DATA INPUT'!$G$3:$G$3000,"&lt;&gt;*School service*")=0,#N/A,(SUMIFS('DATA INPUT'!$D$3:$D$3000,'DATA INPUT'!$A$3:$A$3000,"&gt;="&amp;DATE(2024,10,1),'DATA INPUT'!$A$3:$A$3000,"&lt;"&amp;DATE(2024,10,31),'DATA INPUT'!$G$3:$G$3000,"&lt;&gt;*School service*"))),IF(SUMIFS('DATA INPUT'!$D$3:$D$3000,'DATA INPUT'!$A$3:$A$3000,"&gt;="&amp;DATE(2024,10,1),'DATA INPUT'!$A$3:$A$3000,"&lt;"&amp;DATE(2024,10,31),'DATA INPUT'!$F$3:$F$3000,"&lt;&gt;*Exclude*",'DATA INPUT'!$G$3:$G$3000,"&lt;&gt;*School service*")=0,#N/A,(SUMIFS('DATA INPUT'!$D$3:$D$3000,'DATA INPUT'!$A$3:$A$3000,"&gt;="&amp;DATE(2024,10,1),'DATA INPUT'!$A$3:$A$3000,"&lt;"&amp;DATE(2024,10,31),'DATA INPUT'!$F$3:$F$3000,"&lt;&gt;*Exclude*",'DATA INPUT'!$G$3:$G$3000,"&lt;&gt;*School service*"))))</f>
        <v>#N/A</v>
      </c>
      <c r="AK96" s="136" t="e">
        <f>AI96-AJ96</f>
        <v>#N/A</v>
      </c>
      <c r="AM96" s="117" t="e">
        <f>IF($L$2="Yes",IFERROR((SUMIFS('DATA INPUT'!$E$3:$E$3000,'DATA INPUT'!$B$3:$B$3000,'Report Tables'!AM$1,'DATA INPUT'!$A$3:$A$3000,"&gt;="&amp;DATE(2024,10,1),'DATA INPUT'!$A$3:$A$3000,"&lt;"&amp;DATE(2024,10,31)))/COUNTIFS('DATA INPUT'!$B$3:$B$3000,'Report Tables'!AM$1,'DATA INPUT'!$A$3:$A$3000,"&gt;="&amp;DATE(2024,10,1),'DATA INPUT'!$A$3:$A$3000,"&lt;"&amp;DATE(2024,10,31)),#N/A),IFERROR((SUMIFS('DATA INPUT'!$E$3:$E$3000,'DATA INPUT'!$B$3:$B$3000,'Report Tables'!AM$1,'DATA INPUT'!$A$3:$A$3000,"&gt;="&amp;DATE(2024,10,1),'DATA INPUT'!$A$3:$A$3000,"&lt;"&amp;DATE(2024,10,31),'DATA INPUT'!$F$3:$F$3000,"&lt;&gt;*Exclude*"))/(COUNTIFS('DATA INPUT'!$B$3:$B$3000,'Report Tables'!AM$1,'DATA INPUT'!$A$3:$A$3000,"&gt;="&amp;DATE(2024,10,1),'DATA INPUT'!$A$3:$A$3000,"&lt;"&amp;DATE(2024,10,31),'DATA INPUT'!$F$3:$F$3000,"&lt;&gt;*Exclude*")),#N/A))</f>
        <v>#N/A</v>
      </c>
      <c r="AN96" s="117" t="e">
        <f>IF($L$2="Yes",IFERROR((SUMIFS('DATA INPUT'!$E$3:$E$3000,'DATA INPUT'!$B$3:$B$3000,'Report Tables'!AN$1,'DATA INPUT'!$A$3:$A$3000,"&gt;="&amp;DATE(2024,10,1),'DATA INPUT'!$A$3:$A$3000,"&lt;"&amp;DATE(2024,10,31)))/COUNTIFS('DATA INPUT'!$B$3:$B$3000,'Report Tables'!AN$1,'DATA INPUT'!$A$3:$A$3000,"&gt;="&amp;DATE(2024,10,1),'DATA INPUT'!$A$3:$A$3000,"&lt;"&amp;DATE(2024,10,31)),#N/A),IFERROR((SUMIFS('DATA INPUT'!$E$3:$E$3000,'DATA INPUT'!$B$3:$B$3000,'Report Tables'!AN$1,'DATA INPUT'!$A$3:$A$3000,"&gt;="&amp;DATE(2024,10,1),'DATA INPUT'!$A$3:$A$3000,"&lt;"&amp;DATE(2024,10,31),'DATA INPUT'!$F$3:$F$3000,"&lt;&gt;*Exclude*"))/(COUNTIFS('DATA INPUT'!$B$3:$B$3000,'Report Tables'!AN$1,'DATA INPUT'!$A$3:$A$3000,"&gt;="&amp;DATE(2024,10,1),'DATA INPUT'!$A$3:$A$3000,"&lt;"&amp;DATE(2024,10,31),'DATA INPUT'!$F$3:$F$3000,"&lt;&gt;*Exclude*")),#N/A))</f>
        <v>#N/A</v>
      </c>
      <c r="AO96" s="117" t="e">
        <f>IF($L$2="Yes",IFERROR((SUMIFS('DATA INPUT'!$E$3:$E$3000,'DATA INPUT'!$B$3:$B$3000,'Report Tables'!AO$1,'DATA INPUT'!$A$3:$A$3000,"&gt;="&amp;DATE(2024,10,1),'DATA INPUT'!$A$3:$A$3000,"&lt;"&amp;DATE(2024,10,31)))/COUNTIFS('DATA INPUT'!$B$3:$B$3000,'Report Tables'!AO$1,'DATA INPUT'!$A$3:$A$3000,"&gt;="&amp;DATE(2024,10,1),'DATA INPUT'!$A$3:$A$3000,"&lt;"&amp;DATE(2024,10,31)),#N/A),IFERROR((SUMIFS('DATA INPUT'!$E$3:$E$3000,'DATA INPUT'!$B$3:$B$3000,'Report Tables'!AO$1,'DATA INPUT'!$A$3:$A$3000,"&gt;="&amp;DATE(2024,10,1),'DATA INPUT'!$A$3:$A$3000,"&lt;"&amp;DATE(2024,10,31),'DATA INPUT'!$F$3:$F$3000,"&lt;&gt;*Exclude*"))/(COUNTIFS('DATA INPUT'!$B$3:$B$3000,'Report Tables'!AO$1,'DATA INPUT'!$A$3:$A$3000,"&gt;="&amp;DATE(2024,10,1),'DATA INPUT'!$A$3:$A$3000,"&lt;"&amp;DATE(2024,10,31),'DATA INPUT'!$F$3:$F$3000,"&lt;&gt;*Exclude*")),#N/A))</f>
        <v>#N/A</v>
      </c>
      <c r="AP96" s="117" t="e">
        <f>IF($L$2="Yes",IFERROR((SUMIFS('DATA INPUT'!$E$3:$E$3000,'DATA INPUT'!$B$3:$B$3000,'Report Tables'!AP$1,'DATA INPUT'!$A$3:$A$3000,"&gt;="&amp;DATE(2024,10,1),'DATA INPUT'!$A$3:$A$3000,"&lt;"&amp;DATE(2024,10,31)))/COUNTIFS('DATA INPUT'!$B$3:$B$3000,'Report Tables'!AP$1,'DATA INPUT'!$A$3:$A$3000,"&gt;="&amp;DATE(2024,10,1),'DATA INPUT'!$A$3:$A$3000,"&lt;"&amp;DATE(2024,10,31)),#N/A),IFERROR((SUMIFS('DATA INPUT'!$E$3:$E$3000,'DATA INPUT'!$B$3:$B$3000,'Report Tables'!AP$1,'DATA INPUT'!$A$3:$A$3000,"&gt;="&amp;DATE(2024,10,1),'DATA INPUT'!$A$3:$A$3000,"&lt;"&amp;DATE(2024,10,31),'DATA INPUT'!$F$3:$F$3000,"&lt;&gt;*Exclude*"))/(COUNTIFS('DATA INPUT'!$B$3:$B$3000,'Report Tables'!AP$1,'DATA INPUT'!$A$3:$A$3000,"&gt;="&amp;DATE(2024,10,1),'DATA INPUT'!$A$3:$A$3000,"&lt;"&amp;DATE(2024,10,31),'DATA INPUT'!$F$3:$F$3000,"&lt;&gt;*Exclude*")),#N/A))</f>
        <v>#N/A</v>
      </c>
      <c r="AQ96" s="117" t="e">
        <f>IF($L$2="Yes",IFERROR((SUMIFS('DATA INPUT'!$E$3:$E$3000,'DATA INPUT'!$B$3:$B$3000,'Report Tables'!AQ$1,'DATA INPUT'!$A$3:$A$3000,"&gt;="&amp;DATE(2024,10,1),'DATA INPUT'!$A$3:$A$3000,"&lt;"&amp;DATE(2024,10,31)))/COUNTIFS('DATA INPUT'!$B$3:$B$3000,'Report Tables'!AQ$1,'DATA INPUT'!$A$3:$A$3000,"&gt;="&amp;DATE(2024,10,1),'DATA INPUT'!$A$3:$A$3000,"&lt;"&amp;DATE(2024,10,31)),#N/A),IFERROR((SUMIFS('DATA INPUT'!$E$3:$E$3000,'DATA INPUT'!$B$3:$B$3000,'Report Tables'!AQ$1,'DATA INPUT'!$A$3:$A$3000,"&gt;="&amp;DATE(2024,10,1),'DATA INPUT'!$A$3:$A$3000,"&lt;"&amp;DATE(2024,10,31),'DATA INPUT'!$F$3:$F$3000,"&lt;&gt;*Exclude*"))/(COUNTIFS('DATA INPUT'!$B$3:$B$3000,'Report Tables'!AQ$1,'DATA INPUT'!$A$3:$A$3000,"&gt;="&amp;DATE(2024,10,1),'DATA INPUT'!$A$3:$A$3000,"&lt;"&amp;DATE(2024,10,31),'DATA INPUT'!$F$3:$F$3000,"&lt;&gt;*Exclude*")),#N/A))</f>
        <v>#N/A</v>
      </c>
      <c r="AR96" s="117" t="e">
        <f>IF($L$2="Yes",IFERROR((SUMIFS('DATA INPUT'!$E$3:$E$3000,'DATA INPUT'!$B$3:$B$3000,'Report Tables'!AR$1,'DATA INPUT'!$A$3:$A$3000,"&gt;="&amp;DATE(2024,10,1),'DATA INPUT'!$A$3:$A$3000,"&lt;"&amp;DATE(2024,10,31)))/COUNTIFS('DATA INPUT'!$B$3:$B$3000,'Report Tables'!AR$1,'DATA INPUT'!$A$3:$A$3000,"&gt;="&amp;DATE(2024,10,1),'DATA INPUT'!$A$3:$A$3000,"&lt;"&amp;DATE(2024,10,31)),#N/A),IFERROR((SUMIFS('DATA INPUT'!$E$3:$E$3000,'DATA INPUT'!$B$3:$B$3000,'Report Tables'!AR$1,'DATA INPUT'!$A$3:$A$3000,"&gt;="&amp;DATE(2024,10,1),'DATA INPUT'!$A$3:$A$3000,"&lt;"&amp;DATE(2024,10,31),'DATA INPUT'!$F$3:$F$3000,"&lt;&gt;*Exclude*"))/(COUNTIFS('DATA INPUT'!$B$3:$B$3000,'Report Tables'!AR$1,'DATA INPUT'!$A$3:$A$3000,"&gt;="&amp;DATE(2024,10,1),'DATA INPUT'!$A$3:$A$3000,"&lt;"&amp;DATE(2024,10,31),'DATA INPUT'!$F$3:$F$3000,"&lt;&gt;*Exclude*")),#N/A))</f>
        <v>#N/A</v>
      </c>
      <c r="AS96" s="117" t="e">
        <f>IF($L$2="Yes",IFERROR((SUMIFS('DATA INPUT'!$E$3:$E$3000,'DATA INPUT'!$B$3:$B$3000,'Report Tables'!AS$1,'DATA INPUT'!$A$3:$A$3000,"&gt;="&amp;DATE(2024,10,1),'DATA INPUT'!$A$3:$A$3000,"&lt;"&amp;DATE(2024,10,31)))/COUNTIFS('DATA INPUT'!$B$3:$B$3000,'Report Tables'!AS$1,'DATA INPUT'!$A$3:$A$3000,"&gt;="&amp;DATE(2024,10,1),'DATA INPUT'!$A$3:$A$3000,"&lt;"&amp;DATE(2024,10,31)),#N/A),IFERROR((SUMIFS('DATA INPUT'!$E$3:$E$3000,'DATA INPUT'!$B$3:$B$3000,'Report Tables'!AS$1,'DATA INPUT'!$A$3:$A$3000,"&gt;="&amp;DATE(2024,10,1),'DATA INPUT'!$A$3:$A$3000,"&lt;"&amp;DATE(2024,10,31),'DATA INPUT'!$F$3:$F$3000,"&lt;&gt;*Exclude*"))/(COUNTIFS('DATA INPUT'!$B$3:$B$3000,'Report Tables'!AS$1,'DATA INPUT'!$A$3:$A$3000,"&gt;="&amp;DATE(2024,10,1),'DATA INPUT'!$A$3:$A$3000,"&lt;"&amp;DATE(2024,10,31),'DATA INPUT'!$F$3:$F$3000,"&lt;&gt;*Exclude*")),#N/A))</f>
        <v>#N/A</v>
      </c>
      <c r="AT96" s="117" t="e">
        <f>IF($L$2="Yes",IFERROR((SUMIFS('DATA INPUT'!$E$3:$E$3000,'DATA INPUT'!$B$3:$B$3000,'Report Tables'!AT$1,'DATA INPUT'!$A$3:$A$3000,"&gt;="&amp;DATE(2024,10,1),'DATA INPUT'!$A$3:$A$3000,"&lt;"&amp;DATE(2024,10,31)))/COUNTIFS('DATA INPUT'!$B$3:$B$3000,'Report Tables'!AT$1,'DATA INPUT'!$A$3:$A$3000,"&gt;="&amp;DATE(2024,10,1),'DATA INPUT'!$A$3:$A$3000,"&lt;"&amp;DATE(2024,10,31)),#N/A),IFERROR((SUMIFS('DATA INPUT'!$E$3:$E$3000,'DATA INPUT'!$B$3:$B$3000,'Report Tables'!AT$1,'DATA INPUT'!$A$3:$A$3000,"&gt;="&amp;DATE(2024,10,1),'DATA INPUT'!$A$3:$A$3000,"&lt;"&amp;DATE(2024,10,31),'DATA INPUT'!$F$3:$F$3000,"&lt;&gt;*Exclude*"))/(COUNTIFS('DATA INPUT'!$B$3:$B$3000,'Report Tables'!AT$1,'DATA INPUT'!$A$3:$A$3000,"&gt;="&amp;DATE(2024,10,1),'DATA INPUT'!$A$3:$A$3000,"&lt;"&amp;DATE(2024,10,31),'DATA INPUT'!$F$3:$F$3000,"&lt;&gt;*Exclude*")),#N/A))</f>
        <v>#N/A</v>
      </c>
      <c r="AU96" s="117" t="e">
        <f t="shared" si="24"/>
        <v>#N/A</v>
      </c>
      <c r="AV96" s="117" t="e">
        <f>IF($L$2="Yes",IFERROR((SUMIFS('DATA INPUT'!$D$3:$D$3000,'DATA INPUT'!$A$3:$A$3000,"&gt;="&amp;DATE(2024,10,1),'DATA INPUT'!$A$3:$A$3000,"&lt;"&amp;DATE(2024,10,31),'DATA INPUT'!$G$3:$G$3000,"&lt;&gt;*School service*"))/COUNTIFS('DATA INPUT'!$A$3:$A$3000,"&gt;="&amp;DATE(2024,10,1),'DATA INPUT'!$A$3:$A$3000,"&lt;"&amp;DATE(2024,10,31),'DATA INPUT'!$G$3:$G$3000,"&lt;&gt;*School service*",'DATA INPUT'!$D$3:$D$3000,"&lt;&gt;"&amp;""),#N/A),IFERROR((SUMIFS('DATA INPUT'!$D$3:$D$3000,'DATA INPUT'!$A$3:$A$3000,"&gt;="&amp;DATE(2024,10,1),'DATA INPUT'!$A$3:$A$3000,"&lt;"&amp;DATE(2024,10,31),'DATA INPUT'!$F$3:$F$3000,"&lt;&gt;*Exclude*",'DATA INPUT'!$G$3:$G$3000,"&lt;&gt;*School service*"))/(COUNTIFS('DATA INPUT'!$A$3:$A$3000,"&gt;="&amp;DATE(2024,10,1),'DATA INPUT'!$A$3:$A$3000,"&lt;"&amp;DATE(2024,10,31),'DATA INPUT'!$F$3:$F$3000,"&lt;&gt;*Exclude*",'DATA INPUT'!$G$3:$G$3000,"&lt;&gt;*School service*",'DATA INPUT'!$D$3:$D$3000,"&lt;&gt;"&amp;"")),#N/A))</f>
        <v>#N/A</v>
      </c>
      <c r="AW96" s="117" t="e">
        <f t="shared" si="25"/>
        <v>#N/A</v>
      </c>
      <c r="AX96" s="117" t="e">
        <f>IF($L$2="Yes",IFERROR((SUMIFS('DATA INPUT'!$E$3:$E$3000,'DATA INPUT'!$B$3:$B$3000,'Report Tables'!AX$1,'DATA INPUT'!$A$3:$A$3000,"&gt;="&amp;DATE(2024,10,1),'DATA INPUT'!$A$3:$A$3000,"&lt;"&amp;DATE(2024,10,31)))/COUNTIFS('DATA INPUT'!$B$3:$B$3000,'Report Tables'!AX$1,'DATA INPUT'!$A$3:$A$3000,"&gt;="&amp;DATE(2024,10,1),'DATA INPUT'!$A$3:$A$3000,"&lt;"&amp;DATE(2024,10,31)),#N/A),IFERROR((SUMIFS('DATA INPUT'!$E$3:$E$3000,'DATA INPUT'!$B$3:$B$3000,'Report Tables'!AX$1,'DATA INPUT'!$A$3:$A$3000,"&gt;="&amp;DATE(2024,10,1),'DATA INPUT'!$A$3:$A$3000,"&lt;"&amp;DATE(2024,10,31),'DATA INPUT'!$F$3:$F$3000,"&lt;&gt;*Exclude*"))/(COUNTIFS('DATA INPUT'!$B$3:$B$3000,'Report Tables'!AX$1,'DATA INPUT'!$A$3:$A$3000,"&gt;="&amp;DATE(2024,10,1),'DATA INPUT'!$A$3:$A$3000,"&lt;"&amp;DATE(2024,10,31),'DATA INPUT'!$F$3:$F$3000,"&lt;&gt;*Exclude*")),#N/A))</f>
        <v>#N/A</v>
      </c>
      <c r="AY96" s="117" t="e">
        <f>IF($L$2="Yes",IFERROR((SUMIFS('DATA INPUT'!$D$3:$D$3000,'DATA INPUT'!$B$3:$B$3000,'Report Tables'!AX$1,'DATA INPUT'!$A$3:$A$3000,"&gt;="&amp;DATE(2024,10,1),'DATA INPUT'!$A$3:$A$3000,"&lt;"&amp;DATE(2024,10,31)))/COUNTIFS('DATA INPUT'!$B$3:$B$3000,'Report Tables'!AX$1,'DATA INPUT'!$A$3:$A$3000,"&gt;="&amp;DATE(2024,10,1),'DATA INPUT'!$A$3:$A$3000,"&lt;"&amp;DATE(2024,10,31)),#N/A),IFERROR((SUMIFS('DATA INPUT'!$D$3:$D$3000,'DATA INPUT'!$B$3:$B$3000,'Report Tables'!AX$1,'DATA INPUT'!$A$3:$A$3000,"&gt;="&amp;DATE(2024,10,1),'DATA INPUT'!$A$3:$A$3000,"&lt;"&amp;DATE(2024,10,31),'DATA INPUT'!$F$3:$F$3000,"&lt;&gt;*Exclude*"))/(COUNTIFS('DATA INPUT'!$B$3:$B$3000,'Report Tables'!AX$1,'DATA INPUT'!$A$3:$A$3000,"&gt;="&amp;DATE(2024,10,1),'DATA INPUT'!$A$3:$A$3000,"&lt;"&amp;DATE(2024,10,31),'DATA INPUT'!$F$3:$F$3000,"&lt;&gt;*Exclude*")),#N/A))</f>
        <v>#N/A</v>
      </c>
      <c r="AZ96" s="117" t="e">
        <f>IF($L$2="Yes",IFERROR((SUMIFS('DATA INPUT'!$C$3:$C$3000,'DATA INPUT'!$B$3:$B$3000,'Report Tables'!AX$1,'DATA INPUT'!$A$3:$A$3000,"&gt;="&amp;DATE(2024,10,1),'DATA INPUT'!$A$3:$A$3000,"&lt;"&amp;DATE(2024,10,31)))/COUNTIFS('DATA INPUT'!$B$3:$B$3000,'Report Tables'!AX$1,'DATA INPUT'!$A$3:$A$3000,"&gt;="&amp;DATE(2024,10,1),'DATA INPUT'!$A$3:$A$3000,"&lt;"&amp;DATE(2024,10,31)),#N/A),IFERROR((SUMIFS('DATA INPUT'!$C$3:$C$3000,'DATA INPUT'!$B$3:$B$3000,'Report Tables'!AX$1,'DATA INPUT'!$A$3:$A$3000,"&gt;="&amp;DATE(2024,10,1),'DATA INPUT'!$A$3:$A$3000,"&lt;"&amp;DATE(2024,10,31),'DATA INPUT'!$F$3:$F$3000,"&lt;&gt;*Exclude*"))/(COUNTIFS('DATA INPUT'!$B$3:$B$3000,'Report Tables'!AX$1,'DATA INPUT'!$A$3:$A$3000,"&gt;="&amp;DATE(2024,10,1),'DATA INPUT'!$A$3:$A$3000,"&lt;"&amp;DATE(2024,10,31),'DATA INPUT'!$F$3:$F$3000,"&lt;&gt;*Exclude*")),#N/A))</f>
        <v>#N/A</v>
      </c>
    </row>
    <row r="97" spans="25:52" x14ac:dyDescent="0.3">
      <c r="Y97" s="149"/>
      <c r="Z97" s="149" t="s">
        <v>22</v>
      </c>
      <c r="AA97" s="136" t="e">
        <f>IF($L$2="Yes",IF(SUMIFS('DATA INPUT'!$E$3:$E$3000,'DATA INPUT'!$B$3:$B$3000,'Report Tables'!AA$1,'DATA INPUT'!$A$3:$A$3000,"&gt;="&amp;DATE(2024,11,1),'DATA INPUT'!$A$3:$A$3000,"&lt;"&amp;DATE(2024,11,31))=0,#N/A,(SUMIFS('DATA INPUT'!$E$3:$E$3000,'DATA INPUT'!$B$3:$B$3000,'Report Tables'!AA$1,'DATA INPUT'!$A$3:$A$3000,"&gt;="&amp;DATE(2024,11,1),'DATA INPUT'!$A$3:$A$3000,"&lt;"&amp;DATE(2024,11,31)))),IF(SUMIFS('DATA INPUT'!$E$3:$E$3000,'DATA INPUT'!$B$3:$B$3000,'Report Tables'!AA$1,'DATA INPUT'!$A$3:$A$3000,"&gt;="&amp;DATE(2024,11,1),'DATA INPUT'!$A$3:$A$3000,"&lt;"&amp;DATE(2024,11,31),'DATA INPUT'!$F$3:$F$3000,"&lt;&gt;*Exclude*")=0,#N/A,(SUMIFS('DATA INPUT'!$E$3:$E$3000,'DATA INPUT'!$B$3:$B$3000,'Report Tables'!AA$1,'DATA INPUT'!$A$3:$A$3000,"&gt;="&amp;DATE(2024,11,1),'DATA INPUT'!$A$3:$A$3000,"&lt;"&amp;DATE(2024,11,31),'DATA INPUT'!$F$3:$F$3000,"&lt;&gt;*Exclude*"))))</f>
        <v>#N/A</v>
      </c>
      <c r="AB97" s="136" t="e">
        <f>IF($L$2="Yes",IF(SUMIFS('DATA INPUT'!$E$3:$E$3000,'DATA INPUT'!$B$3:$B$3000,'Report Tables'!AB$1,'DATA INPUT'!$A$3:$A$3000,"&gt;="&amp;DATE(2024,11,1),'DATA INPUT'!$A$3:$A$3000,"&lt;"&amp;DATE(2024,11,31))=0,#N/A,(SUMIFS('DATA INPUT'!$E$3:$E$3000,'DATA INPUT'!$B$3:$B$3000,'Report Tables'!AB$1,'DATA INPUT'!$A$3:$A$3000,"&gt;="&amp;DATE(2024,11,1),'DATA INPUT'!$A$3:$A$3000,"&lt;"&amp;DATE(2024,11,31)))),IF(SUMIFS('DATA INPUT'!$E$3:$E$3000,'DATA INPUT'!$B$3:$B$3000,'Report Tables'!AB$1,'DATA INPUT'!$A$3:$A$3000,"&gt;="&amp;DATE(2024,11,1),'DATA INPUT'!$A$3:$A$3000,"&lt;"&amp;DATE(2024,11,31),'DATA INPUT'!$F$3:$F$3000,"&lt;&gt;*Exclude*")=0,#N/A,(SUMIFS('DATA INPUT'!$E$3:$E$3000,'DATA INPUT'!$B$3:$B$3000,'Report Tables'!AB$1,'DATA INPUT'!$A$3:$A$3000,"&gt;="&amp;DATE(2024,11,1),'DATA INPUT'!$A$3:$A$3000,"&lt;"&amp;DATE(2024,11,31),'DATA INPUT'!$F$3:$F$3000,"&lt;&gt;*Exclude*"))))</f>
        <v>#N/A</v>
      </c>
      <c r="AC97" s="136" t="e">
        <f>IF($L$2="Yes",IF(SUMIFS('DATA INPUT'!$E$3:$E$3000,'DATA INPUT'!$B$3:$B$3000,'Report Tables'!AC$1,'DATA INPUT'!$A$3:$A$3000,"&gt;="&amp;DATE(2024,11,1),'DATA INPUT'!$A$3:$A$3000,"&lt;"&amp;DATE(2024,11,31))=0,#N/A,(SUMIFS('DATA INPUT'!$E$3:$E$3000,'DATA INPUT'!$B$3:$B$3000,'Report Tables'!AC$1,'DATA INPUT'!$A$3:$A$3000,"&gt;="&amp;DATE(2024,11,1),'DATA INPUT'!$A$3:$A$3000,"&lt;"&amp;DATE(2024,11,31)))),IF(SUMIFS('DATA INPUT'!$E$3:$E$3000,'DATA INPUT'!$B$3:$B$3000,'Report Tables'!AC$1,'DATA INPUT'!$A$3:$A$3000,"&gt;="&amp;DATE(2024,11,1),'DATA INPUT'!$A$3:$A$3000,"&lt;"&amp;DATE(2024,11,31),'DATA INPUT'!$F$3:$F$3000,"&lt;&gt;*Exclude*")=0,#N/A,(SUMIFS('DATA INPUT'!$E$3:$E$3000,'DATA INPUT'!$B$3:$B$3000,'Report Tables'!AC$1,'DATA INPUT'!$A$3:$A$3000,"&gt;="&amp;DATE(2024,11,1),'DATA INPUT'!$A$3:$A$3000,"&lt;"&amp;DATE(2024,11,31),'DATA INPUT'!$F$3:$F$3000,"&lt;&gt;*Exclude*"))))</f>
        <v>#N/A</v>
      </c>
      <c r="AD97" s="136" t="e">
        <f>IF($L$2="Yes",IF(SUMIFS('DATA INPUT'!$E$3:$E$3000,'DATA INPUT'!$B$3:$B$3000,'Report Tables'!AD$1,'DATA INPUT'!$A$3:$A$3000,"&gt;="&amp;DATE(2024,11,1),'DATA INPUT'!$A$3:$A$3000,"&lt;"&amp;DATE(2024,11,31))=0,#N/A,(SUMIFS('DATA INPUT'!$E$3:$E$3000,'DATA INPUT'!$B$3:$B$3000,'Report Tables'!AD$1,'DATA INPUT'!$A$3:$A$3000,"&gt;="&amp;DATE(2024,11,1),'DATA INPUT'!$A$3:$A$3000,"&lt;"&amp;DATE(2024,11,31)))),IF(SUMIFS('DATA INPUT'!$E$3:$E$3000,'DATA INPUT'!$B$3:$B$3000,'Report Tables'!AD$1,'DATA INPUT'!$A$3:$A$3000,"&gt;="&amp;DATE(2024,11,1),'DATA INPUT'!$A$3:$A$3000,"&lt;"&amp;DATE(2024,11,31),'DATA INPUT'!$F$3:$F$3000,"&lt;&gt;*Exclude*")=0,#N/A,(SUMIFS('DATA INPUT'!$E$3:$E$3000,'DATA INPUT'!$B$3:$B$3000,'Report Tables'!AD$1,'DATA INPUT'!$A$3:$A$3000,"&gt;="&amp;DATE(2024,11,1),'DATA INPUT'!$A$3:$A$3000,"&lt;"&amp;DATE(2024,11,31),'DATA INPUT'!$F$3:$F$3000,"&lt;&gt;*Exclude*"))))</f>
        <v>#N/A</v>
      </c>
      <c r="AE97" s="136" t="e">
        <f>IF($L$2="Yes",IF(SUMIFS('DATA INPUT'!$E$3:$E$3000,'DATA INPUT'!$B$3:$B$3000,'Report Tables'!AE$1,'DATA INPUT'!$A$3:$A$3000,"&gt;="&amp;DATE(2024,11,1),'DATA INPUT'!$A$3:$A$3000,"&lt;"&amp;DATE(2024,11,31))=0,#N/A,(SUMIFS('DATA INPUT'!$E$3:$E$3000,'DATA INPUT'!$B$3:$B$3000,'Report Tables'!AE$1,'DATA INPUT'!$A$3:$A$3000,"&gt;="&amp;DATE(2024,11,1),'DATA INPUT'!$A$3:$A$3000,"&lt;"&amp;DATE(2024,11,31)))),IF(SUMIFS('DATA INPUT'!$E$3:$E$3000,'DATA INPUT'!$B$3:$B$3000,'Report Tables'!AE$1,'DATA INPUT'!$A$3:$A$3000,"&gt;="&amp;DATE(2024,11,1),'DATA INPUT'!$A$3:$A$3000,"&lt;"&amp;DATE(2024,11,31),'DATA INPUT'!$F$3:$F$3000,"&lt;&gt;*Exclude*")=0,#N/A,(SUMIFS('DATA INPUT'!$E$3:$E$3000,'DATA INPUT'!$B$3:$B$3000,'Report Tables'!AE$1,'DATA INPUT'!$A$3:$A$3000,"&gt;="&amp;DATE(2024,11,1),'DATA INPUT'!$A$3:$A$3000,"&lt;"&amp;DATE(2024,11,31),'DATA INPUT'!$F$3:$F$3000,"&lt;&gt;*Exclude*"))))</f>
        <v>#N/A</v>
      </c>
      <c r="AF97" s="136" t="e">
        <f>IF($L$2="Yes",IF(SUMIFS('DATA INPUT'!$E$3:$E$3000,'DATA INPUT'!$B$3:$B$3000,'Report Tables'!AF$1,'DATA INPUT'!$A$3:$A$3000,"&gt;="&amp;DATE(2024,11,1),'DATA INPUT'!$A$3:$A$3000,"&lt;"&amp;DATE(2024,11,31))=0,#N/A,(SUMIFS('DATA INPUT'!$E$3:$E$3000,'DATA INPUT'!$B$3:$B$3000,'Report Tables'!AF$1,'DATA INPUT'!$A$3:$A$3000,"&gt;="&amp;DATE(2024,11,1),'DATA INPUT'!$A$3:$A$3000,"&lt;"&amp;DATE(2024,11,31)))),IF(SUMIFS('DATA INPUT'!$E$3:$E$3000,'DATA INPUT'!$B$3:$B$3000,'Report Tables'!AF$1,'DATA INPUT'!$A$3:$A$3000,"&gt;="&amp;DATE(2024,11,1),'DATA INPUT'!$A$3:$A$3000,"&lt;"&amp;DATE(2024,11,31),'DATA INPUT'!$F$3:$F$3000,"&lt;&gt;*Exclude*")=0,#N/A,(SUMIFS('DATA INPUT'!$E$3:$E$3000,'DATA INPUT'!$B$3:$B$3000,'Report Tables'!AF$1,'DATA INPUT'!$A$3:$A$3000,"&gt;="&amp;DATE(2024,11,1),'DATA INPUT'!$A$3:$A$3000,"&lt;"&amp;DATE(2024,11,31),'DATA INPUT'!$F$3:$F$3000,"&lt;&gt;*Exclude*"))))</f>
        <v>#N/A</v>
      </c>
      <c r="AG97" s="136" t="e">
        <f>IF($L$2="Yes",IF(SUMIFS('DATA INPUT'!$E$3:$E$3000,'DATA INPUT'!$B$3:$B$3000,'Report Tables'!AG$1,'DATA INPUT'!$A$3:$A$3000,"&gt;="&amp;DATE(2024,11,1),'DATA INPUT'!$A$3:$A$3000,"&lt;"&amp;DATE(2024,11,31))=0,#N/A,(SUMIFS('DATA INPUT'!$E$3:$E$3000,'DATA INPUT'!$B$3:$B$3000,'Report Tables'!AG$1,'DATA INPUT'!$A$3:$A$3000,"&gt;="&amp;DATE(2024,11,1),'DATA INPUT'!$A$3:$A$3000,"&lt;"&amp;DATE(2024,11,31)))),IF(SUMIFS('DATA INPUT'!$E$3:$E$3000,'DATA INPUT'!$B$3:$B$3000,'Report Tables'!AG$1,'DATA INPUT'!$A$3:$A$3000,"&gt;="&amp;DATE(2024,11,1),'DATA INPUT'!$A$3:$A$3000,"&lt;"&amp;DATE(2024,11,31),'DATA INPUT'!$F$3:$F$3000,"&lt;&gt;*Exclude*")=0,#N/A,(SUMIFS('DATA INPUT'!$E$3:$E$3000,'DATA INPUT'!$B$3:$B$3000,'Report Tables'!AG$1,'DATA INPUT'!$A$3:$A$3000,"&gt;="&amp;DATE(2024,11,1),'DATA INPUT'!$A$3:$A$3000,"&lt;"&amp;DATE(2024,11,31),'DATA INPUT'!$F$3:$F$3000,"&lt;&gt;*Exclude*"))))</f>
        <v>#N/A</v>
      </c>
      <c r="AH97" s="136" t="e">
        <f>IF($L$2="Yes",IF(SUMIFS('DATA INPUT'!$E$3:$E$3000,'DATA INPUT'!$B$3:$B$3000,'Report Tables'!AH$1,'DATA INPUT'!$A$3:$A$3000,"&gt;="&amp;DATE(2024,11,1),'DATA INPUT'!$A$3:$A$3000,"&lt;"&amp;DATE(2024,11,31))=0,#N/A,(SUMIFS('DATA INPUT'!$E$3:$E$3000,'DATA INPUT'!$B$3:$B$3000,'Report Tables'!AH$1,'DATA INPUT'!$A$3:$A$3000,"&gt;="&amp;DATE(2024,11,1),'DATA INPUT'!$A$3:$A$3000,"&lt;"&amp;DATE(2024,11,31)))),IF(SUMIFS('DATA INPUT'!$E$3:$E$3000,'DATA INPUT'!$B$3:$B$3000,'Report Tables'!AH$1,'DATA INPUT'!$A$3:$A$3000,"&gt;="&amp;DATE(2024,11,1),'DATA INPUT'!$A$3:$A$3000,"&lt;"&amp;DATE(2024,11,31),'DATA INPUT'!$F$3:$F$3000,"&lt;&gt;*Exclude*")=0,#N/A,(SUMIFS('DATA INPUT'!$E$3:$E$3000,'DATA INPUT'!$B$3:$B$3000,'Report Tables'!AH$1,'DATA INPUT'!$A$3:$A$3000,"&gt;="&amp;DATE(2024,11,1),'DATA INPUT'!$A$3:$A$3000,"&lt;"&amp;DATE(2024,11,31),'DATA INPUT'!$F$3:$F$3000,"&lt;&gt;*Exclude*"))))</f>
        <v>#N/A</v>
      </c>
      <c r="AI97" s="136" t="e">
        <f t="shared" si="23"/>
        <v>#N/A</v>
      </c>
      <c r="AJ97" s="136" t="e">
        <f>IF($L$2="Yes",IF(SUMIFS('DATA INPUT'!$D$3:$D$3000,'DATA INPUT'!$A$3:$A$3000,"&gt;="&amp;DATE(2024,11,1),'DATA INPUT'!$A$3:$A$3000,"&lt;"&amp;DATE(2024,11,31),'DATA INPUT'!$G$3:$G$3000,"&lt;&gt;*School service*")=0,#N/A,(SUMIFS('DATA INPUT'!$D$3:$D$3000,'DATA INPUT'!$A$3:$A$3000,"&gt;="&amp;DATE(2024,11,1),'DATA INPUT'!$A$3:$A$3000,"&lt;"&amp;DATE(2024,11,31),'DATA INPUT'!$G$3:$G$3000,"&lt;&gt;*School service*"))),IF(SUMIFS('DATA INPUT'!$D$3:$D$3000,'DATA INPUT'!$A$3:$A$3000,"&gt;="&amp;DATE(2024,11,1),'DATA INPUT'!$A$3:$A$3000,"&lt;"&amp;DATE(2024,11,31),'DATA INPUT'!$F$3:$F$3000,"&lt;&gt;*Exclude*",'DATA INPUT'!$G$3:$G$3000,"&lt;&gt;*School service*")=0,#N/A,(SUMIFS('DATA INPUT'!$D$3:$D$3000,'DATA INPUT'!$A$3:$A$3000,"&gt;="&amp;DATE(2024,11,1),'DATA INPUT'!$A$3:$A$3000,"&lt;"&amp;DATE(2024,11,31),'DATA INPUT'!$F$3:$F$3000,"&lt;&gt;*Exclude*",'DATA INPUT'!$G$3:$G$3000,"&lt;&gt;*School service*"))))</f>
        <v>#N/A</v>
      </c>
      <c r="AK97" s="136" t="e">
        <f>AI97-AJ97</f>
        <v>#N/A</v>
      </c>
      <c r="AM97" s="117" t="e">
        <f>IF($L$2="Yes",IFERROR((SUMIFS('DATA INPUT'!$E$3:$E$3000,'DATA INPUT'!$B$3:$B$3000,'Report Tables'!AM$1,'DATA INPUT'!$A$3:$A$3000,"&gt;="&amp;DATE(2024,11,1),'DATA INPUT'!$A$3:$A$3000,"&lt;"&amp;DATE(2024,11,31)))/COUNTIFS('DATA INPUT'!$B$3:$B$3000,'Report Tables'!AM$1,'DATA INPUT'!$A$3:$A$3000,"&gt;="&amp;DATE(2024,11,1),'DATA INPUT'!$A$3:$A$3000,"&lt;"&amp;DATE(2024,11,31)),#N/A),IFERROR((SUMIFS('DATA INPUT'!$E$3:$E$3000,'DATA INPUT'!$B$3:$B$3000,'Report Tables'!AM$1,'DATA INPUT'!$A$3:$A$3000,"&gt;="&amp;DATE(2024,11,1),'DATA INPUT'!$A$3:$A$3000,"&lt;"&amp;DATE(2024,11,31),'DATA INPUT'!$F$3:$F$3000,"&lt;&gt;*Exclude*"))/(COUNTIFS('DATA INPUT'!$B$3:$B$3000,'Report Tables'!AM$1,'DATA INPUT'!$A$3:$A$3000,"&gt;="&amp;DATE(2024,11,1),'DATA INPUT'!$A$3:$A$3000,"&lt;"&amp;DATE(2024,11,31),'DATA INPUT'!$F$3:$F$3000,"&lt;&gt;*Exclude*")),#N/A))</f>
        <v>#N/A</v>
      </c>
      <c r="AN97" s="117" t="e">
        <f>IF($L$2="Yes",IFERROR((SUMIFS('DATA INPUT'!$E$3:$E$3000,'DATA INPUT'!$B$3:$B$3000,'Report Tables'!AN$1,'DATA INPUT'!$A$3:$A$3000,"&gt;="&amp;DATE(2024,11,1),'DATA INPUT'!$A$3:$A$3000,"&lt;"&amp;DATE(2024,11,31)))/COUNTIFS('DATA INPUT'!$B$3:$B$3000,'Report Tables'!AN$1,'DATA INPUT'!$A$3:$A$3000,"&gt;="&amp;DATE(2024,11,1),'DATA INPUT'!$A$3:$A$3000,"&lt;"&amp;DATE(2024,11,31)),#N/A),IFERROR((SUMIFS('DATA INPUT'!$E$3:$E$3000,'DATA INPUT'!$B$3:$B$3000,'Report Tables'!AN$1,'DATA INPUT'!$A$3:$A$3000,"&gt;="&amp;DATE(2024,11,1),'DATA INPUT'!$A$3:$A$3000,"&lt;"&amp;DATE(2024,11,31),'DATA INPUT'!$F$3:$F$3000,"&lt;&gt;*Exclude*"))/(COUNTIFS('DATA INPUT'!$B$3:$B$3000,'Report Tables'!AN$1,'DATA INPUT'!$A$3:$A$3000,"&gt;="&amp;DATE(2024,11,1),'DATA INPUT'!$A$3:$A$3000,"&lt;"&amp;DATE(2024,11,31),'DATA INPUT'!$F$3:$F$3000,"&lt;&gt;*Exclude*")),#N/A))</f>
        <v>#N/A</v>
      </c>
      <c r="AO97" s="117" t="e">
        <f>IF($L$2="Yes",IFERROR((SUMIFS('DATA INPUT'!$E$3:$E$3000,'DATA INPUT'!$B$3:$B$3000,'Report Tables'!AO$1,'DATA INPUT'!$A$3:$A$3000,"&gt;="&amp;DATE(2024,11,1),'DATA INPUT'!$A$3:$A$3000,"&lt;"&amp;DATE(2024,11,31)))/COUNTIFS('DATA INPUT'!$B$3:$B$3000,'Report Tables'!AO$1,'DATA INPUT'!$A$3:$A$3000,"&gt;="&amp;DATE(2024,11,1),'DATA INPUT'!$A$3:$A$3000,"&lt;"&amp;DATE(2024,11,31)),#N/A),IFERROR((SUMIFS('DATA INPUT'!$E$3:$E$3000,'DATA INPUT'!$B$3:$B$3000,'Report Tables'!AO$1,'DATA INPUT'!$A$3:$A$3000,"&gt;="&amp;DATE(2024,11,1),'DATA INPUT'!$A$3:$A$3000,"&lt;"&amp;DATE(2024,11,31),'DATA INPUT'!$F$3:$F$3000,"&lt;&gt;*Exclude*"))/(COUNTIFS('DATA INPUT'!$B$3:$B$3000,'Report Tables'!AO$1,'DATA INPUT'!$A$3:$A$3000,"&gt;="&amp;DATE(2024,11,1),'DATA INPUT'!$A$3:$A$3000,"&lt;"&amp;DATE(2024,11,31),'DATA INPUT'!$F$3:$F$3000,"&lt;&gt;*Exclude*")),#N/A))</f>
        <v>#N/A</v>
      </c>
      <c r="AP97" s="117" t="e">
        <f>IF($L$2="Yes",IFERROR((SUMIFS('DATA INPUT'!$E$3:$E$3000,'DATA INPUT'!$B$3:$B$3000,'Report Tables'!AP$1,'DATA INPUT'!$A$3:$A$3000,"&gt;="&amp;DATE(2024,11,1),'DATA INPUT'!$A$3:$A$3000,"&lt;"&amp;DATE(2024,11,31)))/COUNTIFS('DATA INPUT'!$B$3:$B$3000,'Report Tables'!AP$1,'DATA INPUT'!$A$3:$A$3000,"&gt;="&amp;DATE(2024,11,1),'DATA INPUT'!$A$3:$A$3000,"&lt;"&amp;DATE(2024,11,31)),#N/A),IFERROR((SUMIFS('DATA INPUT'!$E$3:$E$3000,'DATA INPUT'!$B$3:$B$3000,'Report Tables'!AP$1,'DATA INPUT'!$A$3:$A$3000,"&gt;="&amp;DATE(2024,11,1),'DATA INPUT'!$A$3:$A$3000,"&lt;"&amp;DATE(2024,11,31),'DATA INPUT'!$F$3:$F$3000,"&lt;&gt;*Exclude*"))/(COUNTIFS('DATA INPUT'!$B$3:$B$3000,'Report Tables'!AP$1,'DATA INPUT'!$A$3:$A$3000,"&gt;="&amp;DATE(2024,11,1),'DATA INPUT'!$A$3:$A$3000,"&lt;"&amp;DATE(2024,11,31),'DATA INPUT'!$F$3:$F$3000,"&lt;&gt;*Exclude*")),#N/A))</f>
        <v>#N/A</v>
      </c>
      <c r="AQ97" s="117" t="e">
        <f>IF($L$2="Yes",IFERROR((SUMIFS('DATA INPUT'!$E$3:$E$3000,'DATA INPUT'!$B$3:$B$3000,'Report Tables'!AQ$1,'DATA INPUT'!$A$3:$A$3000,"&gt;="&amp;DATE(2024,11,1),'DATA INPUT'!$A$3:$A$3000,"&lt;"&amp;DATE(2024,11,31)))/COUNTIFS('DATA INPUT'!$B$3:$B$3000,'Report Tables'!AQ$1,'DATA INPUT'!$A$3:$A$3000,"&gt;="&amp;DATE(2024,11,1),'DATA INPUT'!$A$3:$A$3000,"&lt;"&amp;DATE(2024,11,31)),#N/A),IFERROR((SUMIFS('DATA INPUT'!$E$3:$E$3000,'DATA INPUT'!$B$3:$B$3000,'Report Tables'!AQ$1,'DATA INPUT'!$A$3:$A$3000,"&gt;="&amp;DATE(2024,11,1),'DATA INPUT'!$A$3:$A$3000,"&lt;"&amp;DATE(2024,11,31),'DATA INPUT'!$F$3:$F$3000,"&lt;&gt;*Exclude*"))/(COUNTIFS('DATA INPUT'!$B$3:$B$3000,'Report Tables'!AQ$1,'DATA INPUT'!$A$3:$A$3000,"&gt;="&amp;DATE(2024,11,1),'DATA INPUT'!$A$3:$A$3000,"&lt;"&amp;DATE(2024,11,31),'DATA INPUT'!$F$3:$F$3000,"&lt;&gt;*Exclude*")),#N/A))</f>
        <v>#N/A</v>
      </c>
      <c r="AR97" s="117" t="e">
        <f>IF($L$2="Yes",IFERROR((SUMIFS('DATA INPUT'!$E$3:$E$3000,'DATA INPUT'!$B$3:$B$3000,'Report Tables'!AR$1,'DATA INPUT'!$A$3:$A$3000,"&gt;="&amp;DATE(2024,11,1),'DATA INPUT'!$A$3:$A$3000,"&lt;"&amp;DATE(2024,11,31)))/COUNTIFS('DATA INPUT'!$B$3:$B$3000,'Report Tables'!AR$1,'DATA INPUT'!$A$3:$A$3000,"&gt;="&amp;DATE(2024,11,1),'DATA INPUT'!$A$3:$A$3000,"&lt;"&amp;DATE(2024,11,31)),#N/A),IFERROR((SUMIFS('DATA INPUT'!$E$3:$E$3000,'DATA INPUT'!$B$3:$B$3000,'Report Tables'!AR$1,'DATA INPUT'!$A$3:$A$3000,"&gt;="&amp;DATE(2024,11,1),'DATA INPUT'!$A$3:$A$3000,"&lt;"&amp;DATE(2024,11,31),'DATA INPUT'!$F$3:$F$3000,"&lt;&gt;*Exclude*"))/(COUNTIFS('DATA INPUT'!$B$3:$B$3000,'Report Tables'!AR$1,'DATA INPUT'!$A$3:$A$3000,"&gt;="&amp;DATE(2024,11,1),'DATA INPUT'!$A$3:$A$3000,"&lt;"&amp;DATE(2024,11,31),'DATA INPUT'!$F$3:$F$3000,"&lt;&gt;*Exclude*")),#N/A))</f>
        <v>#N/A</v>
      </c>
      <c r="AS97" s="117" t="e">
        <f>IF($L$2="Yes",IFERROR((SUMIFS('DATA INPUT'!$E$3:$E$3000,'DATA INPUT'!$B$3:$B$3000,'Report Tables'!AS$1,'DATA INPUT'!$A$3:$A$3000,"&gt;="&amp;DATE(2024,11,1),'DATA INPUT'!$A$3:$A$3000,"&lt;"&amp;DATE(2024,11,31)))/COUNTIFS('DATA INPUT'!$B$3:$B$3000,'Report Tables'!AS$1,'DATA INPUT'!$A$3:$A$3000,"&gt;="&amp;DATE(2024,11,1),'DATA INPUT'!$A$3:$A$3000,"&lt;"&amp;DATE(2024,11,31)),#N/A),IFERROR((SUMIFS('DATA INPUT'!$E$3:$E$3000,'DATA INPUT'!$B$3:$B$3000,'Report Tables'!AS$1,'DATA INPUT'!$A$3:$A$3000,"&gt;="&amp;DATE(2024,11,1),'DATA INPUT'!$A$3:$A$3000,"&lt;"&amp;DATE(2024,11,31),'DATA INPUT'!$F$3:$F$3000,"&lt;&gt;*Exclude*"))/(COUNTIFS('DATA INPUT'!$B$3:$B$3000,'Report Tables'!AS$1,'DATA INPUT'!$A$3:$A$3000,"&gt;="&amp;DATE(2024,11,1),'DATA INPUT'!$A$3:$A$3000,"&lt;"&amp;DATE(2024,11,31),'DATA INPUT'!$F$3:$F$3000,"&lt;&gt;*Exclude*")),#N/A))</f>
        <v>#N/A</v>
      </c>
      <c r="AT97" s="117" t="e">
        <f>IF($L$2="Yes",IFERROR((SUMIFS('DATA INPUT'!$E$3:$E$3000,'DATA INPUT'!$B$3:$B$3000,'Report Tables'!AT$1,'DATA INPUT'!$A$3:$A$3000,"&gt;="&amp;DATE(2024,11,1),'DATA INPUT'!$A$3:$A$3000,"&lt;"&amp;DATE(2024,11,31)))/COUNTIFS('DATA INPUT'!$B$3:$B$3000,'Report Tables'!AT$1,'DATA INPUT'!$A$3:$A$3000,"&gt;="&amp;DATE(2024,11,1),'DATA INPUT'!$A$3:$A$3000,"&lt;"&amp;DATE(2024,11,31)),#N/A),IFERROR((SUMIFS('DATA INPUT'!$E$3:$E$3000,'DATA INPUT'!$B$3:$B$3000,'Report Tables'!AT$1,'DATA INPUT'!$A$3:$A$3000,"&gt;="&amp;DATE(2024,11,1),'DATA INPUT'!$A$3:$A$3000,"&lt;"&amp;DATE(2024,11,31),'DATA INPUT'!$F$3:$F$3000,"&lt;&gt;*Exclude*"))/(COUNTIFS('DATA INPUT'!$B$3:$B$3000,'Report Tables'!AT$1,'DATA INPUT'!$A$3:$A$3000,"&gt;="&amp;DATE(2024,11,1),'DATA INPUT'!$A$3:$A$3000,"&lt;"&amp;DATE(2024,11,31),'DATA INPUT'!$F$3:$F$3000,"&lt;&gt;*Exclude*")),#N/A))</f>
        <v>#N/A</v>
      </c>
      <c r="AU97" s="117" t="e">
        <f t="shared" si="24"/>
        <v>#N/A</v>
      </c>
      <c r="AV97" s="117" t="e">
        <f>IF($L$2="Yes",IFERROR((SUMIFS('DATA INPUT'!$D$3:$D$3000,'DATA INPUT'!$A$3:$A$3000,"&gt;="&amp;DATE(2024,11,1),'DATA INPUT'!$A$3:$A$3000,"&lt;"&amp;DATE(2024,11,31),'DATA INPUT'!$G$3:$G$3000,"&lt;&gt;*School service*"))/COUNTIFS('DATA INPUT'!$A$3:$A$3000,"&gt;="&amp;DATE(2024,11,1),'DATA INPUT'!$A$3:$A$3000,"&lt;"&amp;DATE(2024,11,31),'DATA INPUT'!$G$3:$G$3000,"&lt;&gt;*School service*",'DATA INPUT'!$D$3:$D$3000,"&lt;&gt;"&amp;""),#N/A),IFERROR((SUMIFS('DATA INPUT'!$D$3:$D$3000,'DATA INPUT'!$A$3:$A$3000,"&gt;="&amp;DATE(2024,11,1),'DATA INPUT'!$A$3:$A$3000,"&lt;"&amp;DATE(2024,11,31),'DATA INPUT'!$F$3:$F$3000,"&lt;&gt;*Exclude*",'DATA INPUT'!$G$3:$G$3000,"&lt;&gt;*School service*"))/(COUNTIFS('DATA INPUT'!$A$3:$A$3000,"&gt;="&amp;DATE(2024,11,1),'DATA INPUT'!$A$3:$A$3000,"&lt;"&amp;DATE(2024,11,31),'DATA INPUT'!$F$3:$F$3000,"&lt;&gt;*Exclude*",'DATA INPUT'!$G$3:$G$3000,"&lt;&gt;*School service*",'DATA INPUT'!$D$3:$D$3000,"&lt;&gt;"&amp;"")),#N/A))</f>
        <v>#N/A</v>
      </c>
      <c r="AW97" s="117" t="e">
        <f t="shared" si="25"/>
        <v>#N/A</v>
      </c>
      <c r="AX97" s="117" t="e">
        <f>IF($L$2="Yes",IFERROR((SUMIFS('DATA INPUT'!$E$3:$E$3000,'DATA INPUT'!$B$3:$B$3000,'Report Tables'!AX$1,'DATA INPUT'!$A$3:$A$3000,"&gt;="&amp;DATE(2024,11,1),'DATA INPUT'!$A$3:$A$3000,"&lt;"&amp;DATE(2024,11,31)))/COUNTIFS('DATA INPUT'!$B$3:$B$3000,'Report Tables'!AX$1,'DATA INPUT'!$A$3:$A$3000,"&gt;="&amp;DATE(2024,11,1),'DATA INPUT'!$A$3:$A$3000,"&lt;"&amp;DATE(2024,11,31)),#N/A),IFERROR((SUMIFS('DATA INPUT'!$E$3:$E$3000,'DATA INPUT'!$B$3:$B$3000,'Report Tables'!AX$1,'DATA INPUT'!$A$3:$A$3000,"&gt;="&amp;DATE(2024,11,1),'DATA INPUT'!$A$3:$A$3000,"&lt;"&amp;DATE(2024,11,31),'DATA INPUT'!$F$3:$F$3000,"&lt;&gt;*Exclude*"))/(COUNTIFS('DATA INPUT'!$B$3:$B$3000,'Report Tables'!AX$1,'DATA INPUT'!$A$3:$A$3000,"&gt;="&amp;DATE(2024,11,1),'DATA INPUT'!$A$3:$A$3000,"&lt;"&amp;DATE(2024,11,31),'DATA INPUT'!$F$3:$F$3000,"&lt;&gt;*Exclude*")),#N/A))</f>
        <v>#N/A</v>
      </c>
      <c r="AY97" s="117" t="e">
        <f>IF($L$2="Yes",IFERROR((SUMIFS('DATA INPUT'!$D$3:$D$3000,'DATA INPUT'!$B$3:$B$3000,'Report Tables'!AX$1,'DATA INPUT'!$A$3:$A$3000,"&gt;="&amp;DATE(2024,11,1),'DATA INPUT'!$A$3:$A$3000,"&lt;"&amp;DATE(2024,11,31)))/COUNTIFS('DATA INPUT'!$B$3:$B$3000,'Report Tables'!AX$1,'DATA INPUT'!$A$3:$A$3000,"&gt;="&amp;DATE(2024,11,1),'DATA INPUT'!$A$3:$A$3000,"&lt;"&amp;DATE(2024,11,31)),#N/A),IFERROR((SUMIFS('DATA INPUT'!$D$3:$D$3000,'DATA INPUT'!$B$3:$B$3000,'Report Tables'!AX$1,'DATA INPUT'!$A$3:$A$3000,"&gt;="&amp;DATE(2024,11,1),'DATA INPUT'!$A$3:$A$3000,"&lt;"&amp;DATE(2024,11,31),'DATA INPUT'!$F$3:$F$3000,"&lt;&gt;*Exclude*"))/(COUNTIFS('DATA INPUT'!$B$3:$B$3000,'Report Tables'!AX$1,'DATA INPUT'!$A$3:$A$3000,"&gt;="&amp;DATE(2024,11,1),'DATA INPUT'!$A$3:$A$3000,"&lt;"&amp;DATE(2024,11,31),'DATA INPUT'!$F$3:$F$3000,"&lt;&gt;*Exclude*")),#N/A))</f>
        <v>#N/A</v>
      </c>
      <c r="AZ97" s="117" t="e">
        <f>IF($L$2="Yes",IFERROR((SUMIFS('DATA INPUT'!$C$3:$C$3000,'DATA INPUT'!$B$3:$B$3000,'Report Tables'!AX$1,'DATA INPUT'!$A$3:$A$3000,"&gt;="&amp;DATE(2024,11,1),'DATA INPUT'!$A$3:$A$3000,"&lt;"&amp;DATE(2024,11,31)))/COUNTIFS('DATA INPUT'!$B$3:$B$3000,'Report Tables'!AX$1,'DATA INPUT'!$A$3:$A$3000,"&gt;="&amp;DATE(2024,11,1),'DATA INPUT'!$A$3:$A$3000,"&lt;"&amp;DATE(2024,11,31)),#N/A),IFERROR((SUMIFS('DATA INPUT'!$C$3:$C$3000,'DATA INPUT'!$B$3:$B$3000,'Report Tables'!AX$1,'DATA INPUT'!$A$3:$A$3000,"&gt;="&amp;DATE(2024,11,1),'DATA INPUT'!$A$3:$A$3000,"&lt;"&amp;DATE(2024,11,31),'DATA INPUT'!$F$3:$F$3000,"&lt;&gt;*Exclude*"))/(COUNTIFS('DATA INPUT'!$B$3:$B$3000,'Report Tables'!AX$1,'DATA INPUT'!$A$3:$A$3000,"&gt;="&amp;DATE(2024,11,1),'DATA INPUT'!$A$3:$A$3000,"&lt;"&amp;DATE(2024,11,31),'DATA INPUT'!$F$3:$F$3000,"&lt;&gt;*Exclude*")),#N/A))</f>
        <v>#N/A</v>
      </c>
    </row>
    <row r="98" spans="25:52" x14ac:dyDescent="0.3">
      <c r="Y98" s="149"/>
      <c r="Z98" s="149" t="s">
        <v>23</v>
      </c>
      <c r="AA98" s="136" t="e">
        <f>IF($L$2="Yes",IF(SUMIFS('DATA INPUT'!$E$3:$E$3000,'DATA INPUT'!$B$3:$B$3000,'Report Tables'!AA$1,'DATA INPUT'!$A$3:$A$3000,"&gt;="&amp;DATE(2024,12,1),'DATA INPUT'!$A$3:$A$3000,"&lt;"&amp;DATE(2024,12,31))=0,#N/A,(SUMIFS('DATA INPUT'!$E$3:$E$3000,'DATA INPUT'!$B$3:$B$3000,'Report Tables'!AA$1,'DATA INPUT'!$A$3:$A$3000,"&gt;="&amp;DATE(2024,12,1),'DATA INPUT'!$A$3:$A$3000,"&lt;"&amp;DATE(2024,12,31)))),IF(SUMIFS('DATA INPUT'!$E$3:$E$3000,'DATA INPUT'!$B$3:$B$3000,'Report Tables'!AA$1,'DATA INPUT'!$A$3:$A$3000,"&gt;="&amp;DATE(2024,12,1),'DATA INPUT'!$A$3:$A$3000,"&lt;"&amp;DATE(2024,12,31),'DATA INPUT'!$F$3:$F$3000,"&lt;&gt;*Exclude*")=0,#N/A,(SUMIFS('DATA INPUT'!$E$3:$E$3000,'DATA INPUT'!$B$3:$B$3000,'Report Tables'!AA$1,'DATA INPUT'!$A$3:$A$3000,"&gt;="&amp;DATE(2024,12,1),'DATA INPUT'!$A$3:$A$3000,"&lt;"&amp;DATE(2024,12,31),'DATA INPUT'!$F$3:$F$3000,"&lt;&gt;*Exclude*"))))</f>
        <v>#N/A</v>
      </c>
      <c r="AB98" s="136" t="e">
        <f>IF($L$2="Yes",IF(SUMIFS('DATA INPUT'!$E$3:$E$3000,'DATA INPUT'!$B$3:$B$3000,'Report Tables'!AB$1,'DATA INPUT'!$A$3:$A$3000,"&gt;="&amp;DATE(2024,12,1),'DATA INPUT'!$A$3:$A$3000,"&lt;"&amp;DATE(2024,12,31))=0,#N/A,(SUMIFS('DATA INPUT'!$E$3:$E$3000,'DATA INPUT'!$B$3:$B$3000,'Report Tables'!AB$1,'DATA INPUT'!$A$3:$A$3000,"&gt;="&amp;DATE(2024,12,1),'DATA INPUT'!$A$3:$A$3000,"&lt;"&amp;DATE(2024,12,31)))),IF(SUMIFS('DATA INPUT'!$E$3:$E$3000,'DATA INPUT'!$B$3:$B$3000,'Report Tables'!AB$1,'DATA INPUT'!$A$3:$A$3000,"&gt;="&amp;DATE(2024,12,1),'DATA INPUT'!$A$3:$A$3000,"&lt;"&amp;DATE(2024,12,31),'DATA INPUT'!$F$3:$F$3000,"&lt;&gt;*Exclude*")=0,#N/A,(SUMIFS('DATA INPUT'!$E$3:$E$3000,'DATA INPUT'!$B$3:$B$3000,'Report Tables'!AB$1,'DATA INPUT'!$A$3:$A$3000,"&gt;="&amp;DATE(2024,12,1),'DATA INPUT'!$A$3:$A$3000,"&lt;"&amp;DATE(2024,12,31),'DATA INPUT'!$F$3:$F$3000,"&lt;&gt;*Exclude*"))))</f>
        <v>#N/A</v>
      </c>
      <c r="AC98" s="136" t="e">
        <f>IF($L$2="Yes",IF(SUMIFS('DATA INPUT'!$E$3:$E$3000,'DATA INPUT'!$B$3:$B$3000,'Report Tables'!AC$1,'DATA INPUT'!$A$3:$A$3000,"&gt;="&amp;DATE(2024,12,1),'DATA INPUT'!$A$3:$A$3000,"&lt;"&amp;DATE(2024,12,31))=0,#N/A,(SUMIFS('DATA INPUT'!$E$3:$E$3000,'DATA INPUT'!$B$3:$B$3000,'Report Tables'!AC$1,'DATA INPUT'!$A$3:$A$3000,"&gt;="&amp;DATE(2024,12,1),'DATA INPUT'!$A$3:$A$3000,"&lt;"&amp;DATE(2024,12,31)))),IF(SUMIFS('DATA INPUT'!$E$3:$E$3000,'DATA INPUT'!$B$3:$B$3000,'Report Tables'!AC$1,'DATA INPUT'!$A$3:$A$3000,"&gt;="&amp;DATE(2024,12,1),'DATA INPUT'!$A$3:$A$3000,"&lt;"&amp;DATE(2024,12,31),'DATA INPUT'!$F$3:$F$3000,"&lt;&gt;*Exclude*")=0,#N/A,(SUMIFS('DATA INPUT'!$E$3:$E$3000,'DATA INPUT'!$B$3:$B$3000,'Report Tables'!AC$1,'DATA INPUT'!$A$3:$A$3000,"&gt;="&amp;DATE(2024,12,1),'DATA INPUT'!$A$3:$A$3000,"&lt;"&amp;DATE(2024,12,31),'DATA INPUT'!$F$3:$F$3000,"&lt;&gt;*Exclude*"))))</f>
        <v>#N/A</v>
      </c>
      <c r="AD98" s="136" t="e">
        <f>IF($L$2="Yes",IF(SUMIFS('DATA INPUT'!$E$3:$E$3000,'DATA INPUT'!$B$3:$B$3000,'Report Tables'!AD$1,'DATA INPUT'!$A$3:$A$3000,"&gt;="&amp;DATE(2024,12,1),'DATA INPUT'!$A$3:$A$3000,"&lt;"&amp;DATE(2024,12,31))=0,#N/A,(SUMIFS('DATA INPUT'!$E$3:$E$3000,'DATA INPUT'!$B$3:$B$3000,'Report Tables'!AD$1,'DATA INPUT'!$A$3:$A$3000,"&gt;="&amp;DATE(2024,12,1),'DATA INPUT'!$A$3:$A$3000,"&lt;"&amp;DATE(2024,12,31)))),IF(SUMIFS('DATA INPUT'!$E$3:$E$3000,'DATA INPUT'!$B$3:$B$3000,'Report Tables'!AD$1,'DATA INPUT'!$A$3:$A$3000,"&gt;="&amp;DATE(2024,12,1),'DATA INPUT'!$A$3:$A$3000,"&lt;"&amp;DATE(2024,12,31),'DATA INPUT'!$F$3:$F$3000,"&lt;&gt;*Exclude*")=0,#N/A,(SUMIFS('DATA INPUT'!$E$3:$E$3000,'DATA INPUT'!$B$3:$B$3000,'Report Tables'!AD$1,'DATA INPUT'!$A$3:$A$3000,"&gt;="&amp;DATE(2024,12,1),'DATA INPUT'!$A$3:$A$3000,"&lt;"&amp;DATE(2024,12,31),'DATA INPUT'!$F$3:$F$3000,"&lt;&gt;*Exclude*"))))</f>
        <v>#N/A</v>
      </c>
      <c r="AE98" s="136" t="e">
        <f>IF($L$2="Yes",IF(SUMIFS('DATA INPUT'!$E$3:$E$3000,'DATA INPUT'!$B$3:$B$3000,'Report Tables'!AE$1,'DATA INPUT'!$A$3:$A$3000,"&gt;="&amp;DATE(2024,12,1),'DATA INPUT'!$A$3:$A$3000,"&lt;"&amp;DATE(2024,12,31))=0,#N/A,(SUMIFS('DATA INPUT'!$E$3:$E$3000,'DATA INPUT'!$B$3:$B$3000,'Report Tables'!AE$1,'DATA INPUT'!$A$3:$A$3000,"&gt;="&amp;DATE(2024,12,1),'DATA INPUT'!$A$3:$A$3000,"&lt;"&amp;DATE(2024,12,31)))),IF(SUMIFS('DATA INPUT'!$E$3:$E$3000,'DATA INPUT'!$B$3:$B$3000,'Report Tables'!AE$1,'DATA INPUT'!$A$3:$A$3000,"&gt;="&amp;DATE(2024,12,1),'DATA INPUT'!$A$3:$A$3000,"&lt;"&amp;DATE(2024,12,31),'DATA INPUT'!$F$3:$F$3000,"&lt;&gt;*Exclude*")=0,#N/A,(SUMIFS('DATA INPUT'!$E$3:$E$3000,'DATA INPUT'!$B$3:$B$3000,'Report Tables'!AE$1,'DATA INPUT'!$A$3:$A$3000,"&gt;="&amp;DATE(2024,12,1),'DATA INPUT'!$A$3:$A$3000,"&lt;"&amp;DATE(2024,12,31),'DATA INPUT'!$F$3:$F$3000,"&lt;&gt;*Exclude*"))))</f>
        <v>#N/A</v>
      </c>
      <c r="AF98" s="136" t="e">
        <f>IF($L$2="Yes",IF(SUMIFS('DATA INPUT'!$E$3:$E$3000,'DATA INPUT'!$B$3:$B$3000,'Report Tables'!AF$1,'DATA INPUT'!$A$3:$A$3000,"&gt;="&amp;DATE(2024,12,1),'DATA INPUT'!$A$3:$A$3000,"&lt;"&amp;DATE(2024,12,31))=0,#N/A,(SUMIFS('DATA INPUT'!$E$3:$E$3000,'DATA INPUT'!$B$3:$B$3000,'Report Tables'!AF$1,'DATA INPUT'!$A$3:$A$3000,"&gt;="&amp;DATE(2024,12,1),'DATA INPUT'!$A$3:$A$3000,"&lt;"&amp;DATE(2024,12,31)))),IF(SUMIFS('DATA INPUT'!$E$3:$E$3000,'DATA INPUT'!$B$3:$B$3000,'Report Tables'!AF$1,'DATA INPUT'!$A$3:$A$3000,"&gt;="&amp;DATE(2024,12,1),'DATA INPUT'!$A$3:$A$3000,"&lt;"&amp;DATE(2024,12,31),'DATA INPUT'!$F$3:$F$3000,"&lt;&gt;*Exclude*")=0,#N/A,(SUMIFS('DATA INPUT'!$E$3:$E$3000,'DATA INPUT'!$B$3:$B$3000,'Report Tables'!AF$1,'DATA INPUT'!$A$3:$A$3000,"&gt;="&amp;DATE(2024,12,1),'DATA INPUT'!$A$3:$A$3000,"&lt;"&amp;DATE(2024,12,31),'DATA INPUT'!$F$3:$F$3000,"&lt;&gt;*Exclude*"))))</f>
        <v>#N/A</v>
      </c>
      <c r="AG98" s="136" t="e">
        <f>IF($L$2="Yes",IF(SUMIFS('DATA INPUT'!$E$3:$E$3000,'DATA INPUT'!$B$3:$B$3000,'Report Tables'!AG$1,'DATA INPUT'!$A$3:$A$3000,"&gt;="&amp;DATE(2024,12,1),'DATA INPUT'!$A$3:$A$3000,"&lt;"&amp;DATE(2024,12,31))=0,#N/A,(SUMIFS('DATA INPUT'!$E$3:$E$3000,'DATA INPUT'!$B$3:$B$3000,'Report Tables'!AG$1,'DATA INPUT'!$A$3:$A$3000,"&gt;="&amp;DATE(2024,12,1),'DATA INPUT'!$A$3:$A$3000,"&lt;"&amp;DATE(2024,12,31)))),IF(SUMIFS('DATA INPUT'!$E$3:$E$3000,'DATA INPUT'!$B$3:$B$3000,'Report Tables'!AG$1,'DATA INPUT'!$A$3:$A$3000,"&gt;="&amp;DATE(2024,12,1),'DATA INPUT'!$A$3:$A$3000,"&lt;"&amp;DATE(2024,12,31),'DATA INPUT'!$F$3:$F$3000,"&lt;&gt;*Exclude*")=0,#N/A,(SUMIFS('DATA INPUT'!$E$3:$E$3000,'DATA INPUT'!$B$3:$B$3000,'Report Tables'!AG$1,'DATA INPUT'!$A$3:$A$3000,"&gt;="&amp;DATE(2024,12,1),'DATA INPUT'!$A$3:$A$3000,"&lt;"&amp;DATE(2024,12,31),'DATA INPUT'!$F$3:$F$3000,"&lt;&gt;*Exclude*"))))</f>
        <v>#N/A</v>
      </c>
      <c r="AH98" s="136" t="e">
        <f>IF($L$2="Yes",IF(SUMIFS('DATA INPUT'!$E$3:$E$3000,'DATA INPUT'!$B$3:$B$3000,'Report Tables'!AH$1,'DATA INPUT'!$A$3:$A$3000,"&gt;="&amp;DATE(2024,12,1),'DATA INPUT'!$A$3:$A$3000,"&lt;"&amp;DATE(2024,12,31))=0,#N/A,(SUMIFS('DATA INPUT'!$E$3:$E$3000,'DATA INPUT'!$B$3:$B$3000,'Report Tables'!AH$1,'DATA INPUT'!$A$3:$A$3000,"&gt;="&amp;DATE(2024,12,1),'DATA INPUT'!$A$3:$A$3000,"&lt;"&amp;DATE(2024,12,31)))),IF(SUMIFS('DATA INPUT'!$E$3:$E$3000,'DATA INPUT'!$B$3:$B$3000,'Report Tables'!AH$1,'DATA INPUT'!$A$3:$A$3000,"&gt;="&amp;DATE(2024,12,1),'DATA INPUT'!$A$3:$A$3000,"&lt;"&amp;DATE(2024,12,31),'DATA INPUT'!$F$3:$F$3000,"&lt;&gt;*Exclude*")=0,#N/A,(SUMIFS('DATA INPUT'!$E$3:$E$3000,'DATA INPUT'!$B$3:$B$3000,'Report Tables'!AH$1,'DATA INPUT'!$A$3:$A$3000,"&gt;="&amp;DATE(2024,12,1),'DATA INPUT'!$A$3:$A$3000,"&lt;"&amp;DATE(2024,12,31),'DATA INPUT'!$F$3:$F$3000,"&lt;&gt;*Exclude*"))))</f>
        <v>#N/A</v>
      </c>
      <c r="AI98" s="136" t="e">
        <f t="shared" si="23"/>
        <v>#N/A</v>
      </c>
      <c r="AJ98" s="136" t="e">
        <f>IF($L$2="Yes",IF(SUMIFS('DATA INPUT'!$D$3:$D$3000,'DATA INPUT'!$A$3:$A$3000,"&gt;="&amp;DATE(2024,12,1),'DATA INPUT'!$A$3:$A$3000,"&lt;"&amp;DATE(2024,12,31),'DATA INPUT'!$G$3:$G$3000,"&lt;&gt;*School service*")=0,#N/A,(SUMIFS('DATA INPUT'!$D$3:$D$3000,'DATA INPUT'!$A$3:$A$3000,"&gt;="&amp;DATE(2024,12,1),'DATA INPUT'!$A$3:$A$3000,"&lt;"&amp;DATE(2024,12,31),'DATA INPUT'!$G$3:$G$3000,"&lt;&gt;*School service*"))),IF(SUMIFS('DATA INPUT'!$D$3:$D$3000,'DATA INPUT'!$A$3:$A$3000,"&gt;="&amp;DATE(2024,12,1),'DATA INPUT'!$A$3:$A$3000,"&lt;"&amp;DATE(2024,12,31),'DATA INPUT'!$F$3:$F$3000,"&lt;&gt;*Exclude*",'DATA INPUT'!$G$3:$G$3000,"&lt;&gt;*School service*")=0,#N/A,(SUMIFS('DATA INPUT'!$D$3:$D$3000,'DATA INPUT'!$A$3:$A$3000,"&gt;="&amp;DATE(2024,12,1),'DATA INPUT'!$A$3:$A$3000,"&lt;"&amp;DATE(2024,12,31),'DATA INPUT'!$F$3:$F$3000,"&lt;&gt;*Exclude*",'DATA INPUT'!$G$3:$G$3000,"&lt;&gt;*School service*"))))</f>
        <v>#N/A</v>
      </c>
      <c r="AK98" s="136" t="e">
        <f>AI98-AJ98</f>
        <v>#N/A</v>
      </c>
      <c r="AM98" s="117" t="e">
        <f>IF($L$2="Yes",IFERROR((SUMIFS('DATA INPUT'!$E$3:$E$3000,'DATA INPUT'!$B$3:$B$3000,'Report Tables'!AM$1,'DATA INPUT'!$A$3:$A$3000,"&gt;="&amp;DATE(2024,12,1),'DATA INPUT'!$A$3:$A$3000,"&lt;"&amp;DATE(2024,12,31)))/COUNTIFS('DATA INPUT'!$B$3:$B$3000,'Report Tables'!AM$1,'DATA INPUT'!$A$3:$A$3000,"&gt;="&amp;DATE(2024,12,1),'DATA INPUT'!$A$3:$A$3000,"&lt;"&amp;DATE(2024,12,31)),#N/A),IFERROR((SUMIFS('DATA INPUT'!$E$3:$E$3000,'DATA INPUT'!$B$3:$B$3000,'Report Tables'!AM$1,'DATA INPUT'!$A$3:$A$3000,"&gt;="&amp;DATE(2024,12,1),'DATA INPUT'!$A$3:$A$3000,"&lt;"&amp;DATE(2024,12,31),'DATA INPUT'!$F$3:$F$3000,"&lt;&gt;*Exclude*"))/(COUNTIFS('DATA INPUT'!$B$3:$B$3000,'Report Tables'!AM$1,'DATA INPUT'!$A$3:$A$3000,"&gt;="&amp;DATE(2024,12,1),'DATA INPUT'!$A$3:$A$3000,"&lt;"&amp;DATE(2024,12,31),'DATA INPUT'!$F$3:$F$3000,"&lt;&gt;*Exclude*")),#N/A))</f>
        <v>#N/A</v>
      </c>
      <c r="AN98" s="117" t="e">
        <f>IF($L$2="Yes",IFERROR((SUMIFS('DATA INPUT'!$E$3:$E$3000,'DATA INPUT'!$B$3:$B$3000,'Report Tables'!AN$1,'DATA INPUT'!$A$3:$A$3000,"&gt;="&amp;DATE(2024,12,1),'DATA INPUT'!$A$3:$A$3000,"&lt;"&amp;DATE(2024,12,31)))/COUNTIFS('DATA INPUT'!$B$3:$B$3000,'Report Tables'!AN$1,'DATA INPUT'!$A$3:$A$3000,"&gt;="&amp;DATE(2024,12,1),'DATA INPUT'!$A$3:$A$3000,"&lt;"&amp;DATE(2024,12,31)),#N/A),IFERROR((SUMIFS('DATA INPUT'!$E$3:$E$3000,'DATA INPUT'!$B$3:$B$3000,'Report Tables'!AN$1,'DATA INPUT'!$A$3:$A$3000,"&gt;="&amp;DATE(2024,12,1),'DATA INPUT'!$A$3:$A$3000,"&lt;"&amp;DATE(2024,12,31),'DATA INPUT'!$F$3:$F$3000,"&lt;&gt;*Exclude*"))/(COUNTIFS('DATA INPUT'!$B$3:$B$3000,'Report Tables'!AN$1,'DATA INPUT'!$A$3:$A$3000,"&gt;="&amp;DATE(2024,12,1),'DATA INPUT'!$A$3:$A$3000,"&lt;"&amp;DATE(2024,12,31),'DATA INPUT'!$F$3:$F$3000,"&lt;&gt;*Exclude*")),#N/A))</f>
        <v>#N/A</v>
      </c>
      <c r="AO98" s="117" t="e">
        <f>IF($L$2="Yes",IFERROR((SUMIFS('DATA INPUT'!$E$3:$E$3000,'DATA INPUT'!$B$3:$B$3000,'Report Tables'!AO$1,'DATA INPUT'!$A$3:$A$3000,"&gt;="&amp;DATE(2024,12,1),'DATA INPUT'!$A$3:$A$3000,"&lt;"&amp;DATE(2024,12,31)))/COUNTIFS('DATA INPUT'!$B$3:$B$3000,'Report Tables'!AO$1,'DATA INPUT'!$A$3:$A$3000,"&gt;="&amp;DATE(2024,12,1),'DATA INPUT'!$A$3:$A$3000,"&lt;"&amp;DATE(2024,12,31)),#N/A),IFERROR((SUMIFS('DATA INPUT'!$E$3:$E$3000,'DATA INPUT'!$B$3:$B$3000,'Report Tables'!AO$1,'DATA INPUT'!$A$3:$A$3000,"&gt;="&amp;DATE(2024,12,1),'DATA INPUT'!$A$3:$A$3000,"&lt;"&amp;DATE(2024,12,31),'DATA INPUT'!$F$3:$F$3000,"&lt;&gt;*Exclude*"))/(COUNTIFS('DATA INPUT'!$B$3:$B$3000,'Report Tables'!AO$1,'DATA INPUT'!$A$3:$A$3000,"&gt;="&amp;DATE(2024,12,1),'DATA INPUT'!$A$3:$A$3000,"&lt;"&amp;DATE(2024,12,31),'DATA INPUT'!$F$3:$F$3000,"&lt;&gt;*Exclude*")),#N/A))</f>
        <v>#N/A</v>
      </c>
      <c r="AP98" s="117" t="e">
        <f>IF($L$2="Yes",IFERROR((SUMIFS('DATA INPUT'!$E$3:$E$3000,'DATA INPUT'!$B$3:$B$3000,'Report Tables'!AP$1,'DATA INPUT'!$A$3:$A$3000,"&gt;="&amp;DATE(2024,12,1),'DATA INPUT'!$A$3:$A$3000,"&lt;"&amp;DATE(2024,12,31)))/COUNTIFS('DATA INPUT'!$B$3:$B$3000,'Report Tables'!AP$1,'DATA INPUT'!$A$3:$A$3000,"&gt;="&amp;DATE(2024,12,1),'DATA INPUT'!$A$3:$A$3000,"&lt;"&amp;DATE(2024,12,31)),#N/A),IFERROR((SUMIFS('DATA INPUT'!$E$3:$E$3000,'DATA INPUT'!$B$3:$B$3000,'Report Tables'!AP$1,'DATA INPUT'!$A$3:$A$3000,"&gt;="&amp;DATE(2024,12,1),'DATA INPUT'!$A$3:$A$3000,"&lt;"&amp;DATE(2024,12,31),'DATA INPUT'!$F$3:$F$3000,"&lt;&gt;*Exclude*"))/(COUNTIFS('DATA INPUT'!$B$3:$B$3000,'Report Tables'!AP$1,'DATA INPUT'!$A$3:$A$3000,"&gt;="&amp;DATE(2024,12,1),'DATA INPUT'!$A$3:$A$3000,"&lt;"&amp;DATE(2024,12,31),'DATA INPUT'!$F$3:$F$3000,"&lt;&gt;*Exclude*")),#N/A))</f>
        <v>#N/A</v>
      </c>
      <c r="AQ98" s="117" t="e">
        <f>IF($L$2="Yes",IFERROR((SUMIFS('DATA INPUT'!$E$3:$E$3000,'DATA INPUT'!$B$3:$B$3000,'Report Tables'!AQ$1,'DATA INPUT'!$A$3:$A$3000,"&gt;="&amp;DATE(2024,12,1),'DATA INPUT'!$A$3:$A$3000,"&lt;"&amp;DATE(2024,12,31)))/COUNTIFS('DATA INPUT'!$B$3:$B$3000,'Report Tables'!AQ$1,'DATA INPUT'!$A$3:$A$3000,"&gt;="&amp;DATE(2024,12,1),'DATA INPUT'!$A$3:$A$3000,"&lt;"&amp;DATE(2024,12,31)),#N/A),IFERROR((SUMIFS('DATA INPUT'!$E$3:$E$3000,'DATA INPUT'!$B$3:$B$3000,'Report Tables'!AQ$1,'DATA INPUT'!$A$3:$A$3000,"&gt;="&amp;DATE(2024,12,1),'DATA INPUT'!$A$3:$A$3000,"&lt;"&amp;DATE(2024,12,31),'DATA INPUT'!$F$3:$F$3000,"&lt;&gt;*Exclude*"))/(COUNTIFS('DATA INPUT'!$B$3:$B$3000,'Report Tables'!AQ$1,'DATA INPUT'!$A$3:$A$3000,"&gt;="&amp;DATE(2024,12,1),'DATA INPUT'!$A$3:$A$3000,"&lt;"&amp;DATE(2024,12,31),'DATA INPUT'!$F$3:$F$3000,"&lt;&gt;*Exclude*")),#N/A))</f>
        <v>#N/A</v>
      </c>
      <c r="AR98" s="117" t="e">
        <f>IF($L$2="Yes",IFERROR((SUMIFS('DATA INPUT'!$E$3:$E$3000,'DATA INPUT'!$B$3:$B$3000,'Report Tables'!AR$1,'DATA INPUT'!$A$3:$A$3000,"&gt;="&amp;DATE(2024,12,1),'DATA INPUT'!$A$3:$A$3000,"&lt;"&amp;DATE(2024,12,31)))/COUNTIFS('DATA INPUT'!$B$3:$B$3000,'Report Tables'!AR$1,'DATA INPUT'!$A$3:$A$3000,"&gt;="&amp;DATE(2024,12,1),'DATA INPUT'!$A$3:$A$3000,"&lt;"&amp;DATE(2024,12,31)),#N/A),IFERROR((SUMIFS('DATA INPUT'!$E$3:$E$3000,'DATA INPUT'!$B$3:$B$3000,'Report Tables'!AR$1,'DATA INPUT'!$A$3:$A$3000,"&gt;="&amp;DATE(2024,12,1),'DATA INPUT'!$A$3:$A$3000,"&lt;"&amp;DATE(2024,12,31),'DATA INPUT'!$F$3:$F$3000,"&lt;&gt;*Exclude*"))/(COUNTIFS('DATA INPUT'!$B$3:$B$3000,'Report Tables'!AR$1,'DATA INPUT'!$A$3:$A$3000,"&gt;="&amp;DATE(2024,12,1),'DATA INPUT'!$A$3:$A$3000,"&lt;"&amp;DATE(2024,12,31),'DATA INPUT'!$F$3:$F$3000,"&lt;&gt;*Exclude*")),#N/A))</f>
        <v>#N/A</v>
      </c>
      <c r="AS98" s="117" t="e">
        <f>IF($L$2="Yes",IFERROR((SUMIFS('DATA INPUT'!$E$3:$E$3000,'DATA INPUT'!$B$3:$B$3000,'Report Tables'!AS$1,'DATA INPUT'!$A$3:$A$3000,"&gt;="&amp;DATE(2024,12,1),'DATA INPUT'!$A$3:$A$3000,"&lt;"&amp;DATE(2024,12,31)))/COUNTIFS('DATA INPUT'!$B$3:$B$3000,'Report Tables'!AS$1,'DATA INPUT'!$A$3:$A$3000,"&gt;="&amp;DATE(2024,12,1),'DATA INPUT'!$A$3:$A$3000,"&lt;"&amp;DATE(2024,12,31)),#N/A),IFERROR((SUMIFS('DATA INPUT'!$E$3:$E$3000,'DATA INPUT'!$B$3:$B$3000,'Report Tables'!AS$1,'DATA INPUT'!$A$3:$A$3000,"&gt;="&amp;DATE(2024,12,1),'DATA INPUT'!$A$3:$A$3000,"&lt;"&amp;DATE(2024,12,31),'DATA INPUT'!$F$3:$F$3000,"&lt;&gt;*Exclude*"))/(COUNTIFS('DATA INPUT'!$B$3:$B$3000,'Report Tables'!AS$1,'DATA INPUT'!$A$3:$A$3000,"&gt;="&amp;DATE(2024,12,1),'DATA INPUT'!$A$3:$A$3000,"&lt;"&amp;DATE(2024,12,31),'DATA INPUT'!$F$3:$F$3000,"&lt;&gt;*Exclude*")),#N/A))</f>
        <v>#N/A</v>
      </c>
      <c r="AT98" s="117" t="e">
        <f>IF($L$2="Yes",IFERROR((SUMIFS('DATA INPUT'!$E$3:$E$3000,'DATA INPUT'!$B$3:$B$3000,'Report Tables'!AT$1,'DATA INPUT'!$A$3:$A$3000,"&gt;="&amp;DATE(2024,12,1),'DATA INPUT'!$A$3:$A$3000,"&lt;"&amp;DATE(2024,12,31)))/COUNTIFS('DATA INPUT'!$B$3:$B$3000,'Report Tables'!AT$1,'DATA INPUT'!$A$3:$A$3000,"&gt;="&amp;DATE(2024,12,1),'DATA INPUT'!$A$3:$A$3000,"&lt;"&amp;DATE(2024,12,31)),#N/A),IFERROR((SUMIFS('DATA INPUT'!$E$3:$E$3000,'DATA INPUT'!$B$3:$B$3000,'Report Tables'!AT$1,'DATA INPUT'!$A$3:$A$3000,"&gt;="&amp;DATE(2024,12,1),'DATA INPUT'!$A$3:$A$3000,"&lt;"&amp;DATE(2024,12,31),'DATA INPUT'!$F$3:$F$3000,"&lt;&gt;*Exclude*"))/(COUNTIFS('DATA INPUT'!$B$3:$B$3000,'Report Tables'!AT$1,'DATA INPUT'!$A$3:$A$3000,"&gt;="&amp;DATE(2024,12,1),'DATA INPUT'!$A$3:$A$3000,"&lt;"&amp;DATE(2024,12,31),'DATA INPUT'!$F$3:$F$3000,"&lt;&gt;*Exclude*")),#N/A))</f>
        <v>#N/A</v>
      </c>
      <c r="AU98" s="117" t="e">
        <f t="shared" si="24"/>
        <v>#N/A</v>
      </c>
      <c r="AV98" s="117" t="e">
        <f>IF($L$2="Yes",IFERROR((SUMIFS('DATA INPUT'!$D$3:$D$3000,'DATA INPUT'!$A$3:$A$3000,"&gt;="&amp;DATE(2024,12,1),'DATA INPUT'!$A$3:$A$3000,"&lt;"&amp;DATE(2024,12,31),'DATA INPUT'!$G$3:$G$3000,"&lt;&gt;*School service*"))/COUNTIFS('DATA INPUT'!$A$3:$A$3000,"&gt;="&amp;DATE(2024,12,1),'DATA INPUT'!$A$3:$A$3000,"&lt;"&amp;DATE(2024,12,31),'DATA INPUT'!$G$3:$G$3000,"&lt;&gt;*School service*",'DATA INPUT'!$D$3:$D$3000,"&lt;&gt;"&amp;""),#N/A),IFERROR((SUMIFS('DATA INPUT'!$D$3:$D$3000,'DATA INPUT'!$A$3:$A$3000,"&gt;="&amp;DATE(2024,12,1),'DATA INPUT'!$A$3:$A$3000,"&lt;"&amp;DATE(2024,12,31),'DATA INPUT'!$F$3:$F$3000,"&lt;&gt;*Exclude*",'DATA INPUT'!$G$3:$G$3000,"&lt;&gt;*School service*"))/(COUNTIFS('DATA INPUT'!$A$3:$A$3000,"&gt;="&amp;DATE(2024,12,1),'DATA INPUT'!$A$3:$A$3000,"&lt;"&amp;DATE(2024,12,31),'DATA INPUT'!$F$3:$F$3000,"&lt;&gt;*Exclude*",'DATA INPUT'!$G$3:$G$3000,"&lt;&gt;*School service*",'DATA INPUT'!$D$3:$D$3000,"&lt;&gt;"&amp;"")),#N/A))</f>
        <v>#N/A</v>
      </c>
      <c r="AW98" s="117" t="e">
        <f t="shared" si="25"/>
        <v>#N/A</v>
      </c>
      <c r="AX98" s="117" t="e">
        <f>IF($L$2="Yes",IFERROR((SUMIFS('DATA INPUT'!$E$3:$E$3000,'DATA INPUT'!$B$3:$B$3000,'Report Tables'!AX$1,'DATA INPUT'!$A$3:$A$3000,"&gt;="&amp;DATE(2024,12,1),'DATA INPUT'!$A$3:$A$3000,"&lt;"&amp;DATE(2024,12,31)))/COUNTIFS('DATA INPUT'!$B$3:$B$3000,'Report Tables'!AX$1,'DATA INPUT'!$A$3:$A$3000,"&gt;="&amp;DATE(2024,12,1),'DATA INPUT'!$A$3:$A$3000,"&lt;"&amp;DATE(2024,12,31)),#N/A),IFERROR((SUMIFS('DATA INPUT'!$E$3:$E$3000,'DATA INPUT'!$B$3:$B$3000,'Report Tables'!AX$1,'DATA INPUT'!$A$3:$A$3000,"&gt;="&amp;DATE(2024,12,1),'DATA INPUT'!$A$3:$A$3000,"&lt;"&amp;DATE(2024,12,31),'DATA INPUT'!$F$3:$F$3000,"&lt;&gt;*Exclude*"))/(COUNTIFS('DATA INPUT'!$B$3:$B$3000,'Report Tables'!AX$1,'DATA INPUT'!$A$3:$A$3000,"&gt;="&amp;DATE(2024,12,1),'DATA INPUT'!$A$3:$A$3000,"&lt;"&amp;DATE(2024,12,31),'DATA INPUT'!$F$3:$F$3000,"&lt;&gt;*Exclude*")),#N/A))</f>
        <v>#N/A</v>
      </c>
      <c r="AY98" s="117" t="e">
        <f>IF($L$2="Yes",IFERROR((SUMIFS('DATA INPUT'!$D$3:$D$3000,'DATA INPUT'!$B$3:$B$3000,'Report Tables'!AX$1,'DATA INPUT'!$A$3:$A$3000,"&gt;="&amp;DATE(2024,12,1),'DATA INPUT'!$A$3:$A$3000,"&lt;"&amp;DATE(2024,12,31)))/COUNTIFS('DATA INPUT'!$B$3:$B$3000,'Report Tables'!AX$1,'DATA INPUT'!$A$3:$A$3000,"&gt;="&amp;DATE(2024,12,1),'DATA INPUT'!$A$3:$A$3000,"&lt;"&amp;DATE(2024,12,31)),#N/A),IFERROR((SUMIFS('DATA INPUT'!$D$3:$D$3000,'DATA INPUT'!$B$3:$B$3000,'Report Tables'!AX$1,'DATA INPUT'!$A$3:$A$3000,"&gt;="&amp;DATE(2024,12,1),'DATA INPUT'!$A$3:$A$3000,"&lt;"&amp;DATE(2024,12,31),'DATA INPUT'!$F$3:$F$3000,"&lt;&gt;*Exclude*"))/(COUNTIFS('DATA INPUT'!$B$3:$B$3000,'Report Tables'!AX$1,'DATA INPUT'!$A$3:$A$3000,"&gt;="&amp;DATE(2024,12,1),'DATA INPUT'!$A$3:$A$3000,"&lt;"&amp;DATE(2024,12,31),'DATA INPUT'!$F$3:$F$3000,"&lt;&gt;*Exclude*")),#N/A))</f>
        <v>#N/A</v>
      </c>
      <c r="AZ98" s="117" t="e">
        <f>IF($L$2="Yes",IFERROR((SUMIFS('DATA INPUT'!$C$3:$C$3000,'DATA INPUT'!$B$3:$B$3000,'Report Tables'!AX$1,'DATA INPUT'!$A$3:$A$3000,"&gt;="&amp;DATE(2024,12,1),'DATA INPUT'!$A$3:$A$3000,"&lt;"&amp;DATE(2024,12,31)))/COUNTIFS('DATA INPUT'!$B$3:$B$3000,'Report Tables'!AX$1,'DATA INPUT'!$A$3:$A$3000,"&gt;="&amp;DATE(2024,12,1),'DATA INPUT'!$A$3:$A$3000,"&lt;"&amp;DATE(2024,12,31)),#N/A),IFERROR((SUMIFS('DATA INPUT'!$C$3:$C$3000,'DATA INPUT'!$B$3:$B$3000,'Report Tables'!AX$1,'DATA INPUT'!$A$3:$A$3000,"&gt;="&amp;DATE(2024,12,1),'DATA INPUT'!$A$3:$A$3000,"&lt;"&amp;DATE(2024,12,31),'DATA INPUT'!$F$3:$F$3000,"&lt;&gt;*Exclude*"))/(COUNTIFS('DATA INPUT'!$B$3:$B$3000,'Report Tables'!AX$1,'DATA INPUT'!$A$3:$A$3000,"&gt;="&amp;DATE(2024,12,1),'DATA INPUT'!$A$3:$A$3000,"&lt;"&amp;DATE(2024,12,31),'DATA INPUT'!$F$3:$F$3000,"&lt;&gt;*Exclude*")),#N/A))</f>
        <v>#N/A</v>
      </c>
    </row>
    <row r="99" spans="25:52" x14ac:dyDescent="0.3">
      <c r="Y99" s="149">
        <v>2025</v>
      </c>
      <c r="Z99" s="149" t="s">
        <v>12</v>
      </c>
      <c r="AA99" s="136" t="e">
        <f>IF($L$2="Yes",IF(SUMIFS('DATA INPUT'!$E$3:$E$3000,'DATA INPUT'!$B$3:$B$3000,'Report Tables'!AA$1,'DATA INPUT'!$A$3:$A$3000,"&gt;="&amp;DATE(2025,1,1),'DATA INPUT'!$A$3:$A$3000,"&lt;"&amp;DATE(2025,1,31))=0,#N/A,(SUMIFS('DATA INPUT'!$E$3:$E$3000,'DATA INPUT'!$B$3:$B$3000,'Report Tables'!AA$1,'DATA INPUT'!$A$3:$A$3000,"&gt;="&amp;DATE(2025,1,1),'DATA INPUT'!$A$3:$A$3000,"&lt;"&amp;DATE(2025,1,31)))),IF(SUMIFS('DATA INPUT'!$E$3:$E$3000,'DATA INPUT'!$B$3:$B$3000,'Report Tables'!AA$1,'DATA INPUT'!$A$3:$A$3000,"&gt;="&amp;DATE(2025,1,1),'DATA INPUT'!$A$3:$A$3000,"&lt;"&amp;DATE(2025,1,31),'DATA INPUT'!$F$3:$F$3000,"&lt;&gt;*Exclude*")=0,#N/A,(SUMIFS('DATA INPUT'!$E$3:$E$3000,'DATA INPUT'!$B$3:$B$3000,'Report Tables'!AA$1,'DATA INPUT'!$A$3:$A$3000,"&gt;="&amp;DATE(2025,1,1),'DATA INPUT'!$A$3:$A$3000,"&lt;"&amp;DATE(2025,1,31),'DATA INPUT'!$F$3:$F$3000,"&lt;&gt;*Exclude*"))))</f>
        <v>#N/A</v>
      </c>
      <c r="AB99" s="136" t="e">
        <f>IF($L$2="Yes",IF(SUMIFS('DATA INPUT'!$E$3:$E$3000,'DATA INPUT'!$B$3:$B$3000,'Report Tables'!AB$1,'DATA INPUT'!$A$3:$A$3000,"&gt;="&amp;DATE(2025,1,1),'DATA INPUT'!$A$3:$A$3000,"&lt;"&amp;DATE(2025,1,31))=0,#N/A,(SUMIFS('DATA INPUT'!$E$3:$E$3000,'DATA INPUT'!$B$3:$B$3000,'Report Tables'!AB$1,'DATA INPUT'!$A$3:$A$3000,"&gt;="&amp;DATE(2025,1,1),'DATA INPUT'!$A$3:$A$3000,"&lt;"&amp;DATE(2025,1,31)))),IF(SUMIFS('DATA INPUT'!$E$3:$E$3000,'DATA INPUT'!$B$3:$B$3000,'Report Tables'!AB$1,'DATA INPUT'!$A$3:$A$3000,"&gt;="&amp;DATE(2025,1,1),'DATA INPUT'!$A$3:$A$3000,"&lt;"&amp;DATE(2025,1,31),'DATA INPUT'!$F$3:$F$3000,"&lt;&gt;*Exclude*")=0,#N/A,(SUMIFS('DATA INPUT'!$E$3:$E$3000,'DATA INPUT'!$B$3:$B$3000,'Report Tables'!AB$1,'DATA INPUT'!$A$3:$A$3000,"&gt;="&amp;DATE(2025,1,1),'DATA INPUT'!$A$3:$A$3000,"&lt;"&amp;DATE(2025,1,31),'DATA INPUT'!$F$3:$F$3000,"&lt;&gt;*Exclude*"))))</f>
        <v>#N/A</v>
      </c>
      <c r="AC99" s="136" t="e">
        <f>IF($L$2="Yes",IF(SUMIFS('DATA INPUT'!$E$3:$E$3000,'DATA INPUT'!$B$3:$B$3000,'Report Tables'!AC$1,'DATA INPUT'!$A$3:$A$3000,"&gt;="&amp;DATE(2025,1,1),'DATA INPUT'!$A$3:$A$3000,"&lt;"&amp;DATE(2025,1,31))=0,#N/A,(SUMIFS('DATA INPUT'!$E$3:$E$3000,'DATA INPUT'!$B$3:$B$3000,'Report Tables'!AC$1,'DATA INPUT'!$A$3:$A$3000,"&gt;="&amp;DATE(2025,1,1),'DATA INPUT'!$A$3:$A$3000,"&lt;"&amp;DATE(2025,1,31)))),IF(SUMIFS('DATA INPUT'!$E$3:$E$3000,'DATA INPUT'!$B$3:$B$3000,'Report Tables'!AC$1,'DATA INPUT'!$A$3:$A$3000,"&gt;="&amp;DATE(2025,1,1),'DATA INPUT'!$A$3:$A$3000,"&lt;"&amp;DATE(2025,1,31),'DATA INPUT'!$F$3:$F$3000,"&lt;&gt;*Exclude*")=0,#N/A,(SUMIFS('DATA INPUT'!$E$3:$E$3000,'DATA INPUT'!$B$3:$B$3000,'Report Tables'!AC$1,'DATA INPUT'!$A$3:$A$3000,"&gt;="&amp;DATE(2025,1,1),'DATA INPUT'!$A$3:$A$3000,"&lt;"&amp;DATE(2025,1,31),'DATA INPUT'!$F$3:$F$3000,"&lt;&gt;*Exclude*"))))</f>
        <v>#N/A</v>
      </c>
      <c r="AD99" s="136" t="e">
        <f>IF($L$2="Yes",IF(SUMIFS('DATA INPUT'!$E$3:$E$3000,'DATA INPUT'!$B$3:$B$3000,'Report Tables'!AD$1,'DATA INPUT'!$A$3:$A$3000,"&gt;="&amp;DATE(2025,1,1),'DATA INPUT'!$A$3:$A$3000,"&lt;"&amp;DATE(2025,1,31))=0,#N/A,(SUMIFS('DATA INPUT'!$E$3:$E$3000,'DATA INPUT'!$B$3:$B$3000,'Report Tables'!AD$1,'DATA INPUT'!$A$3:$A$3000,"&gt;="&amp;DATE(2025,1,1),'DATA INPUT'!$A$3:$A$3000,"&lt;"&amp;DATE(2025,1,31)))),IF(SUMIFS('DATA INPUT'!$E$3:$E$3000,'DATA INPUT'!$B$3:$B$3000,'Report Tables'!AD$1,'DATA INPUT'!$A$3:$A$3000,"&gt;="&amp;DATE(2025,1,1),'DATA INPUT'!$A$3:$A$3000,"&lt;"&amp;DATE(2025,1,31),'DATA INPUT'!$F$3:$F$3000,"&lt;&gt;*Exclude*")=0,#N/A,(SUMIFS('DATA INPUT'!$E$3:$E$3000,'DATA INPUT'!$B$3:$B$3000,'Report Tables'!AD$1,'DATA INPUT'!$A$3:$A$3000,"&gt;="&amp;DATE(2025,1,1),'DATA INPUT'!$A$3:$A$3000,"&lt;"&amp;DATE(2025,1,31),'DATA INPUT'!$F$3:$F$3000,"&lt;&gt;*Exclude*"))))</f>
        <v>#N/A</v>
      </c>
      <c r="AE99" s="136" t="e">
        <f>IF($L$2="Yes",IF(SUMIFS('DATA INPUT'!$E$3:$E$3000,'DATA INPUT'!$B$3:$B$3000,'Report Tables'!AE$1,'DATA INPUT'!$A$3:$A$3000,"&gt;="&amp;DATE(2025,1,1),'DATA INPUT'!$A$3:$A$3000,"&lt;"&amp;DATE(2025,1,31))=0,#N/A,(SUMIFS('DATA INPUT'!$E$3:$E$3000,'DATA INPUT'!$B$3:$B$3000,'Report Tables'!AE$1,'DATA INPUT'!$A$3:$A$3000,"&gt;="&amp;DATE(2025,1,1),'DATA INPUT'!$A$3:$A$3000,"&lt;"&amp;DATE(2025,1,31)))),IF(SUMIFS('DATA INPUT'!$E$3:$E$3000,'DATA INPUT'!$B$3:$B$3000,'Report Tables'!AE$1,'DATA INPUT'!$A$3:$A$3000,"&gt;="&amp;DATE(2025,1,1),'DATA INPUT'!$A$3:$A$3000,"&lt;"&amp;DATE(2025,1,31),'DATA INPUT'!$F$3:$F$3000,"&lt;&gt;*Exclude*")=0,#N/A,(SUMIFS('DATA INPUT'!$E$3:$E$3000,'DATA INPUT'!$B$3:$B$3000,'Report Tables'!AE$1,'DATA INPUT'!$A$3:$A$3000,"&gt;="&amp;DATE(2025,1,1),'DATA INPUT'!$A$3:$A$3000,"&lt;"&amp;DATE(2025,1,31),'DATA INPUT'!$F$3:$F$3000,"&lt;&gt;*Exclude*"))))</f>
        <v>#N/A</v>
      </c>
      <c r="AF99" s="136" t="e">
        <f>IF($L$2="Yes",IF(SUMIFS('DATA INPUT'!$E$3:$E$3000,'DATA INPUT'!$B$3:$B$3000,'Report Tables'!AF$1,'DATA INPUT'!$A$3:$A$3000,"&gt;="&amp;DATE(2025,1,1),'DATA INPUT'!$A$3:$A$3000,"&lt;"&amp;DATE(2025,1,31))=0,#N/A,(SUMIFS('DATA INPUT'!$E$3:$E$3000,'DATA INPUT'!$B$3:$B$3000,'Report Tables'!AF$1,'DATA INPUT'!$A$3:$A$3000,"&gt;="&amp;DATE(2025,1,1),'DATA INPUT'!$A$3:$A$3000,"&lt;"&amp;DATE(2025,1,31)))),IF(SUMIFS('DATA INPUT'!$E$3:$E$3000,'DATA INPUT'!$B$3:$B$3000,'Report Tables'!AF$1,'DATA INPUT'!$A$3:$A$3000,"&gt;="&amp;DATE(2025,1,1),'DATA INPUT'!$A$3:$A$3000,"&lt;"&amp;DATE(2025,1,31),'DATA INPUT'!$F$3:$F$3000,"&lt;&gt;*Exclude*")=0,#N/A,(SUMIFS('DATA INPUT'!$E$3:$E$3000,'DATA INPUT'!$B$3:$B$3000,'Report Tables'!AF$1,'DATA INPUT'!$A$3:$A$3000,"&gt;="&amp;DATE(2025,1,1),'DATA INPUT'!$A$3:$A$3000,"&lt;"&amp;DATE(2025,1,31),'DATA INPUT'!$F$3:$F$3000,"&lt;&gt;*Exclude*"))))</f>
        <v>#N/A</v>
      </c>
      <c r="AG99" s="136" t="e">
        <f>IF($L$2="Yes",IF(SUMIFS('DATA INPUT'!$E$3:$E$3000,'DATA INPUT'!$B$3:$B$3000,'Report Tables'!AG$1,'DATA INPUT'!$A$3:$A$3000,"&gt;="&amp;DATE(2025,1,1),'DATA INPUT'!$A$3:$A$3000,"&lt;"&amp;DATE(2025,1,31))=0,#N/A,(SUMIFS('DATA INPUT'!$E$3:$E$3000,'DATA INPUT'!$B$3:$B$3000,'Report Tables'!AG$1,'DATA INPUT'!$A$3:$A$3000,"&gt;="&amp;DATE(2025,1,1),'DATA INPUT'!$A$3:$A$3000,"&lt;"&amp;DATE(2025,1,31)))),IF(SUMIFS('DATA INPUT'!$E$3:$E$3000,'DATA INPUT'!$B$3:$B$3000,'Report Tables'!AG$1,'DATA INPUT'!$A$3:$A$3000,"&gt;="&amp;DATE(2025,1,1),'DATA INPUT'!$A$3:$A$3000,"&lt;"&amp;DATE(2025,1,31),'DATA INPUT'!$F$3:$F$3000,"&lt;&gt;*Exclude*")=0,#N/A,(SUMIFS('DATA INPUT'!$E$3:$E$3000,'DATA INPUT'!$B$3:$B$3000,'Report Tables'!AG$1,'DATA INPUT'!$A$3:$A$3000,"&gt;="&amp;DATE(2025,1,1),'DATA INPUT'!$A$3:$A$3000,"&lt;"&amp;DATE(2025,1,31),'DATA INPUT'!$F$3:$F$3000,"&lt;&gt;*Exclude*"))))</f>
        <v>#N/A</v>
      </c>
      <c r="AH99" s="136" t="e">
        <f>IF($L$2="Yes",IF(SUMIFS('DATA INPUT'!$E$3:$E$3000,'DATA INPUT'!$B$3:$B$3000,'Report Tables'!AH$1,'DATA INPUT'!$A$3:$A$3000,"&gt;="&amp;DATE(2025,1,1),'DATA INPUT'!$A$3:$A$3000,"&lt;"&amp;DATE(2025,1,31))=0,#N/A,(SUMIFS('DATA INPUT'!$E$3:$E$3000,'DATA INPUT'!$B$3:$B$3000,'Report Tables'!AH$1,'DATA INPUT'!$A$3:$A$3000,"&gt;="&amp;DATE(2025,1,1),'DATA INPUT'!$A$3:$A$3000,"&lt;"&amp;DATE(2025,1,31)))),IF(SUMIFS('DATA INPUT'!$E$3:$E$3000,'DATA INPUT'!$B$3:$B$3000,'Report Tables'!AH$1,'DATA INPUT'!$A$3:$A$3000,"&gt;="&amp;DATE(2025,1,1),'DATA INPUT'!$A$3:$A$3000,"&lt;"&amp;DATE(2025,1,31),'DATA INPUT'!$F$3:$F$3000,"&lt;&gt;*Exclude*")=0,#N/A,(SUMIFS('DATA INPUT'!$E$3:$E$3000,'DATA INPUT'!$B$3:$B$3000,'Report Tables'!AH$1,'DATA INPUT'!$A$3:$A$3000,"&gt;="&amp;DATE(2025,1,1),'DATA INPUT'!$A$3:$A$3000,"&lt;"&amp;DATE(2025,1,31),'DATA INPUT'!$F$3:$F$3000,"&lt;&gt;*Exclude*"))))</f>
        <v>#N/A</v>
      </c>
      <c r="AI99" s="136" t="e">
        <f t="shared" si="23"/>
        <v>#N/A</v>
      </c>
      <c r="AJ99" s="136" t="e">
        <f>IF($L$2="Yes",IF(SUMIFS('DATA INPUT'!$D$3:$D$3000,'DATA INPUT'!$A$3:$A$3000,"&gt;="&amp;DATE(2025,1,1),'DATA INPUT'!$A$3:$A$3000,"&lt;"&amp;DATE(2025,1,31),'DATA INPUT'!$G$3:$G$3000,"&lt;&gt;*School service*")=0,#N/A,(SUMIFS('DATA INPUT'!$D$3:$D$3000,'DATA INPUT'!$A$3:$A$3000,"&gt;="&amp;DATE(2025,1,1),'DATA INPUT'!$A$3:$A$3000,"&lt;"&amp;DATE(2025,1,31),'DATA INPUT'!$G$3:$G$3000,"&lt;&gt;*School service*"))),IF(SUMIFS('DATA INPUT'!$D$3:$D$3000,'DATA INPUT'!$A$3:$A$3000,"&gt;="&amp;DATE(2025,1,1),'DATA INPUT'!$A$3:$A$3000,"&lt;"&amp;DATE(2025,1,31),'DATA INPUT'!$F$3:$F$3000,"&lt;&gt;*Exclude*",'DATA INPUT'!$G$3:$G$3000,"&lt;&gt;*School service*")=0,#N/A,(SUMIFS('DATA INPUT'!$D$3:$D$3000,'DATA INPUT'!$A$3:$A$3000,"&gt;="&amp;DATE(2025,1,1),'DATA INPUT'!$A$3:$A$3000,"&lt;"&amp;DATE(2025,1,31),'DATA INPUT'!$F$3:$F$3000,"&lt;&gt;*Exclude*",'DATA INPUT'!$G$3:$G$3000,"&lt;&gt;*School service*"))))</f>
        <v>#N/A</v>
      </c>
      <c r="AK99" s="136" t="e">
        <f>AI99-AJ99</f>
        <v>#N/A</v>
      </c>
      <c r="AM99" s="117" t="e">
        <f>IF($L$2="Yes",IFERROR((SUMIFS('DATA INPUT'!$E$3:$E$3000,'DATA INPUT'!$B$3:$B$3000,'Report Tables'!AM$1,'DATA INPUT'!$A$3:$A$3000,"&gt;="&amp;DATE(2025,1,1),'DATA INPUT'!$A$3:$A$3000,"&lt;"&amp;DATE(2025,1,31)))/COUNTIFS('DATA INPUT'!$B$3:$B$3000,'Report Tables'!AM$1,'DATA INPUT'!$A$3:$A$3000,"&gt;="&amp;DATE(2025,1,1),'DATA INPUT'!$A$3:$A$3000,"&lt;"&amp;DATE(2025,1,31)),#N/A),IFERROR((SUMIFS('DATA INPUT'!$E$3:$E$3000,'DATA INPUT'!$B$3:$B$3000,'Report Tables'!AM$1,'DATA INPUT'!$A$3:$A$3000,"&gt;="&amp;DATE(2025,1,1),'DATA INPUT'!$A$3:$A$3000,"&lt;"&amp;DATE(2025,1,31),'DATA INPUT'!$F$3:$F$3000,"&lt;&gt;*Exclude*"))/(COUNTIFS('DATA INPUT'!$B$3:$B$3000,'Report Tables'!AM$1,'DATA INPUT'!$A$3:$A$3000,"&gt;="&amp;DATE(2025,1,1),'DATA INPUT'!$A$3:$A$3000,"&lt;"&amp;DATE(2025,1,31),'DATA INPUT'!$F$3:$F$3000,"&lt;&gt;*Exclude*")),#N/A))</f>
        <v>#N/A</v>
      </c>
      <c r="AN99" s="117" t="e">
        <f>IF($L$2="Yes",IFERROR((SUMIFS('DATA INPUT'!$E$3:$E$3000,'DATA INPUT'!$B$3:$B$3000,'Report Tables'!AN$1,'DATA INPUT'!$A$3:$A$3000,"&gt;="&amp;DATE(2025,1,1),'DATA INPUT'!$A$3:$A$3000,"&lt;"&amp;DATE(2025,1,31)))/COUNTIFS('DATA INPUT'!$B$3:$B$3000,'Report Tables'!AN$1,'DATA INPUT'!$A$3:$A$3000,"&gt;="&amp;DATE(2025,1,1),'DATA INPUT'!$A$3:$A$3000,"&lt;"&amp;DATE(2025,1,31)),#N/A),IFERROR((SUMIFS('DATA INPUT'!$E$3:$E$3000,'DATA INPUT'!$B$3:$B$3000,'Report Tables'!AN$1,'DATA INPUT'!$A$3:$A$3000,"&gt;="&amp;DATE(2025,1,1),'DATA INPUT'!$A$3:$A$3000,"&lt;"&amp;DATE(2025,1,31),'DATA INPUT'!$F$3:$F$3000,"&lt;&gt;*Exclude*"))/(COUNTIFS('DATA INPUT'!$B$3:$B$3000,'Report Tables'!AN$1,'DATA INPUT'!$A$3:$A$3000,"&gt;="&amp;DATE(2025,1,1),'DATA INPUT'!$A$3:$A$3000,"&lt;"&amp;DATE(2025,1,31),'DATA INPUT'!$F$3:$F$3000,"&lt;&gt;*Exclude*")),#N/A))</f>
        <v>#N/A</v>
      </c>
      <c r="AO99" s="117" t="e">
        <f>IF($L$2="Yes",IFERROR((SUMIFS('DATA INPUT'!$E$3:$E$3000,'DATA INPUT'!$B$3:$B$3000,'Report Tables'!AO$1,'DATA INPUT'!$A$3:$A$3000,"&gt;="&amp;DATE(2025,1,1),'DATA INPUT'!$A$3:$A$3000,"&lt;"&amp;DATE(2025,1,31)))/COUNTIFS('DATA INPUT'!$B$3:$B$3000,'Report Tables'!AO$1,'DATA INPUT'!$A$3:$A$3000,"&gt;="&amp;DATE(2025,1,1),'DATA INPUT'!$A$3:$A$3000,"&lt;"&amp;DATE(2025,1,31)),#N/A),IFERROR((SUMIFS('DATA INPUT'!$E$3:$E$3000,'DATA INPUT'!$B$3:$B$3000,'Report Tables'!AO$1,'DATA INPUT'!$A$3:$A$3000,"&gt;="&amp;DATE(2025,1,1),'DATA INPUT'!$A$3:$A$3000,"&lt;"&amp;DATE(2025,1,31),'DATA INPUT'!$F$3:$F$3000,"&lt;&gt;*Exclude*"))/(COUNTIFS('DATA INPUT'!$B$3:$B$3000,'Report Tables'!AO$1,'DATA INPUT'!$A$3:$A$3000,"&gt;="&amp;DATE(2025,1,1),'DATA INPUT'!$A$3:$A$3000,"&lt;"&amp;DATE(2025,1,31),'DATA INPUT'!$F$3:$F$3000,"&lt;&gt;*Exclude*")),#N/A))</f>
        <v>#N/A</v>
      </c>
      <c r="AP99" s="117" t="e">
        <f>IF($L$2="Yes",IFERROR((SUMIFS('DATA INPUT'!$E$3:$E$3000,'DATA INPUT'!$B$3:$B$3000,'Report Tables'!AP$1,'DATA INPUT'!$A$3:$A$3000,"&gt;="&amp;DATE(2025,1,1),'DATA INPUT'!$A$3:$A$3000,"&lt;"&amp;DATE(2025,1,31)))/COUNTIFS('DATA INPUT'!$B$3:$B$3000,'Report Tables'!AP$1,'DATA INPUT'!$A$3:$A$3000,"&gt;="&amp;DATE(2025,1,1),'DATA INPUT'!$A$3:$A$3000,"&lt;"&amp;DATE(2025,1,31)),#N/A),IFERROR((SUMIFS('DATA INPUT'!$E$3:$E$3000,'DATA INPUT'!$B$3:$B$3000,'Report Tables'!AP$1,'DATA INPUT'!$A$3:$A$3000,"&gt;="&amp;DATE(2025,1,1),'DATA INPUT'!$A$3:$A$3000,"&lt;"&amp;DATE(2025,1,31),'DATA INPUT'!$F$3:$F$3000,"&lt;&gt;*Exclude*"))/(COUNTIFS('DATA INPUT'!$B$3:$B$3000,'Report Tables'!AP$1,'DATA INPUT'!$A$3:$A$3000,"&gt;="&amp;DATE(2025,1,1),'DATA INPUT'!$A$3:$A$3000,"&lt;"&amp;DATE(2025,1,31),'DATA INPUT'!$F$3:$F$3000,"&lt;&gt;*Exclude*")),#N/A))</f>
        <v>#N/A</v>
      </c>
      <c r="AQ99" s="117" t="e">
        <f>IF($L$2="Yes",IFERROR((SUMIFS('DATA INPUT'!$E$3:$E$3000,'DATA INPUT'!$B$3:$B$3000,'Report Tables'!AQ$1,'DATA INPUT'!$A$3:$A$3000,"&gt;="&amp;DATE(2025,1,1),'DATA INPUT'!$A$3:$A$3000,"&lt;"&amp;DATE(2025,1,31)))/COUNTIFS('DATA INPUT'!$B$3:$B$3000,'Report Tables'!AQ$1,'DATA INPUT'!$A$3:$A$3000,"&gt;="&amp;DATE(2025,1,1),'DATA INPUT'!$A$3:$A$3000,"&lt;"&amp;DATE(2025,1,31)),#N/A),IFERROR((SUMIFS('DATA INPUT'!$E$3:$E$3000,'DATA INPUT'!$B$3:$B$3000,'Report Tables'!AQ$1,'DATA INPUT'!$A$3:$A$3000,"&gt;="&amp;DATE(2025,1,1),'DATA INPUT'!$A$3:$A$3000,"&lt;"&amp;DATE(2025,1,31),'DATA INPUT'!$F$3:$F$3000,"&lt;&gt;*Exclude*"))/(COUNTIFS('DATA INPUT'!$B$3:$B$3000,'Report Tables'!AQ$1,'DATA INPUT'!$A$3:$A$3000,"&gt;="&amp;DATE(2025,1,1),'DATA INPUT'!$A$3:$A$3000,"&lt;"&amp;DATE(2025,1,31),'DATA INPUT'!$F$3:$F$3000,"&lt;&gt;*Exclude*")),#N/A))</f>
        <v>#N/A</v>
      </c>
      <c r="AR99" s="117" t="e">
        <f>IF($L$2="Yes",IFERROR((SUMIFS('DATA INPUT'!$E$3:$E$3000,'DATA INPUT'!$B$3:$B$3000,'Report Tables'!AR$1,'DATA INPUT'!$A$3:$A$3000,"&gt;="&amp;DATE(2025,1,1),'DATA INPUT'!$A$3:$A$3000,"&lt;"&amp;DATE(2025,1,31)))/COUNTIFS('DATA INPUT'!$B$3:$B$3000,'Report Tables'!AR$1,'DATA INPUT'!$A$3:$A$3000,"&gt;="&amp;DATE(2025,1,1),'DATA INPUT'!$A$3:$A$3000,"&lt;"&amp;DATE(2025,1,31)),#N/A),IFERROR((SUMIFS('DATA INPUT'!$E$3:$E$3000,'DATA INPUT'!$B$3:$B$3000,'Report Tables'!AR$1,'DATA INPUT'!$A$3:$A$3000,"&gt;="&amp;DATE(2025,1,1),'DATA INPUT'!$A$3:$A$3000,"&lt;"&amp;DATE(2025,1,31),'DATA INPUT'!$F$3:$F$3000,"&lt;&gt;*Exclude*"))/(COUNTIFS('DATA INPUT'!$B$3:$B$3000,'Report Tables'!AR$1,'DATA INPUT'!$A$3:$A$3000,"&gt;="&amp;DATE(2025,1,1),'DATA INPUT'!$A$3:$A$3000,"&lt;"&amp;DATE(2025,1,31),'DATA INPUT'!$F$3:$F$3000,"&lt;&gt;*Exclude*")),#N/A))</f>
        <v>#N/A</v>
      </c>
      <c r="AS99" s="117" t="e">
        <f>IF($L$2="Yes",IFERROR((SUMIFS('DATA INPUT'!$E$3:$E$3000,'DATA INPUT'!$B$3:$B$3000,'Report Tables'!AS$1,'DATA INPUT'!$A$3:$A$3000,"&gt;="&amp;DATE(2025,1,1),'DATA INPUT'!$A$3:$A$3000,"&lt;"&amp;DATE(2025,1,31)))/COUNTIFS('DATA INPUT'!$B$3:$B$3000,'Report Tables'!AS$1,'DATA INPUT'!$A$3:$A$3000,"&gt;="&amp;DATE(2025,1,1),'DATA INPUT'!$A$3:$A$3000,"&lt;"&amp;DATE(2025,1,31)),#N/A),IFERROR((SUMIFS('DATA INPUT'!$E$3:$E$3000,'DATA INPUT'!$B$3:$B$3000,'Report Tables'!AS$1,'DATA INPUT'!$A$3:$A$3000,"&gt;="&amp;DATE(2025,1,1),'DATA INPUT'!$A$3:$A$3000,"&lt;"&amp;DATE(2025,1,31),'DATA INPUT'!$F$3:$F$3000,"&lt;&gt;*Exclude*"))/(COUNTIFS('DATA INPUT'!$B$3:$B$3000,'Report Tables'!AS$1,'DATA INPUT'!$A$3:$A$3000,"&gt;="&amp;DATE(2025,1,1),'DATA INPUT'!$A$3:$A$3000,"&lt;"&amp;DATE(2025,1,31),'DATA INPUT'!$F$3:$F$3000,"&lt;&gt;*Exclude*")),#N/A))</f>
        <v>#N/A</v>
      </c>
      <c r="AT99" s="117" t="e">
        <f>IF($L$2="Yes",IFERROR((SUMIFS('DATA INPUT'!$E$3:$E$3000,'DATA INPUT'!$B$3:$B$3000,'Report Tables'!AT$1,'DATA INPUT'!$A$3:$A$3000,"&gt;="&amp;DATE(2025,1,1),'DATA INPUT'!$A$3:$A$3000,"&lt;"&amp;DATE(2025,1,31)))/COUNTIFS('DATA INPUT'!$B$3:$B$3000,'Report Tables'!AT$1,'DATA INPUT'!$A$3:$A$3000,"&gt;="&amp;DATE(2025,1,1),'DATA INPUT'!$A$3:$A$3000,"&lt;"&amp;DATE(2025,1,31)),#N/A),IFERROR((SUMIFS('DATA INPUT'!$E$3:$E$3000,'DATA INPUT'!$B$3:$B$3000,'Report Tables'!AT$1,'DATA INPUT'!$A$3:$A$3000,"&gt;="&amp;DATE(2025,1,1),'DATA INPUT'!$A$3:$A$3000,"&lt;"&amp;DATE(2025,1,31),'DATA INPUT'!$F$3:$F$3000,"&lt;&gt;*Exclude*"))/(COUNTIFS('DATA INPUT'!$B$3:$B$3000,'Report Tables'!AT$1,'DATA INPUT'!$A$3:$A$3000,"&gt;="&amp;DATE(2025,1,1),'DATA INPUT'!$A$3:$A$3000,"&lt;"&amp;DATE(2025,1,31),'DATA INPUT'!$F$3:$F$3000,"&lt;&gt;*Exclude*")),#N/A))</f>
        <v>#N/A</v>
      </c>
      <c r="AU99" s="117" t="e">
        <f t="shared" si="24"/>
        <v>#N/A</v>
      </c>
      <c r="AV99" s="117" t="e">
        <f>IF($L$2="Yes",IFERROR((SUMIFS('DATA INPUT'!$D$3:$D$3000,'DATA INPUT'!$A$3:$A$3000,"&gt;="&amp;DATE(2025,1,1),'DATA INPUT'!$A$3:$A$3000,"&lt;"&amp;DATE(2025,1,31),'DATA INPUT'!$G$3:$G$3000,"&lt;&gt;*School service*"))/COUNTIFS('DATA INPUT'!$A$3:$A$3000,"&gt;="&amp;DATE(2025,1,1),'DATA INPUT'!$A$3:$A$3000,"&lt;"&amp;DATE(2025,1,31),'DATA INPUT'!$G$3:$G$3000,"&lt;&gt;*School service*",'DATA INPUT'!$D$3:$D$3000,"&lt;&gt;"&amp;""),#N/A),IFERROR((SUMIFS('DATA INPUT'!$D$3:$D$3000,'DATA INPUT'!$A$3:$A$3000,"&gt;="&amp;DATE(2025,1,1),'DATA INPUT'!$A$3:$A$3000,"&lt;"&amp;DATE(2025,1,31),'DATA INPUT'!$F$3:$F$3000,"&lt;&gt;*Exclude*",'DATA INPUT'!$G$3:$G$3000,"&lt;&gt;*School service*"))/(COUNTIFS('DATA INPUT'!$A$3:$A$3000,"&gt;="&amp;DATE(2025,1,1),'DATA INPUT'!$A$3:$A$3000,"&lt;"&amp;DATE(2025,1,31),'DATA INPUT'!$F$3:$F$3000,"&lt;&gt;*Exclude*",'DATA INPUT'!$G$3:$G$3000,"&lt;&gt;*School service*",'DATA INPUT'!$D$3:$D$3000,"&lt;&gt;"&amp;"")),#N/A))</f>
        <v>#N/A</v>
      </c>
      <c r="AW99" s="117" t="e">
        <f t="shared" si="25"/>
        <v>#N/A</v>
      </c>
      <c r="AX99" s="117" t="e">
        <f>IF($L$2="Yes",IFERROR((SUMIFS('DATA INPUT'!$E$3:$E$3000,'DATA INPUT'!$B$3:$B$3000,'Report Tables'!AX$1,'DATA INPUT'!$A$3:$A$3000,"&gt;="&amp;DATE(2025,1,1),'DATA INPUT'!$A$3:$A$3000,"&lt;"&amp;DATE(2025,1,31)))/COUNTIFS('DATA INPUT'!$B$3:$B$3000,'Report Tables'!AX$1,'DATA INPUT'!$A$3:$A$3000,"&gt;="&amp;DATE(2025,1,1),'DATA INPUT'!$A$3:$A$3000,"&lt;"&amp;DATE(2025,1,31)),#N/A),IFERROR((SUMIFS('DATA INPUT'!$E$3:$E$3000,'DATA INPUT'!$B$3:$B$3000,'Report Tables'!AX$1,'DATA INPUT'!$A$3:$A$3000,"&gt;="&amp;DATE(2025,1,1),'DATA INPUT'!$A$3:$A$3000,"&lt;"&amp;DATE(2025,1,31),'DATA INPUT'!$F$3:$F$3000,"&lt;&gt;*Exclude*"))/(COUNTIFS('DATA INPUT'!$B$3:$B$3000,'Report Tables'!AX$1,'DATA INPUT'!$A$3:$A$3000,"&gt;="&amp;DATE(2025,1,1),'DATA INPUT'!$A$3:$A$3000,"&lt;"&amp;DATE(2025,1,31),'DATA INPUT'!$F$3:$F$3000,"&lt;&gt;*Exclude*")),#N/A))</f>
        <v>#N/A</v>
      </c>
      <c r="AY99" s="117" t="e">
        <f>IF($L$2="Yes",IFERROR((SUMIFS('DATA INPUT'!$D$3:$D$3000,'DATA INPUT'!$B$3:$B$3000,'Report Tables'!AX$1,'DATA INPUT'!$A$3:$A$3000,"&gt;="&amp;DATE(2025,1,1),'DATA INPUT'!$A$3:$A$3000,"&lt;"&amp;DATE(2025,1,31)))/COUNTIFS('DATA INPUT'!$B$3:$B$3000,'Report Tables'!AX$1,'DATA INPUT'!$A$3:$A$3000,"&gt;="&amp;DATE(2025,1,1),'DATA INPUT'!$A$3:$A$3000,"&lt;"&amp;DATE(2025,1,31)),#N/A),IFERROR((SUMIFS('DATA INPUT'!$D$3:$D$3000,'DATA INPUT'!$B$3:$B$3000,'Report Tables'!AX$1,'DATA INPUT'!$A$3:$A$3000,"&gt;="&amp;DATE(2025,1,1),'DATA INPUT'!$A$3:$A$3000,"&lt;"&amp;DATE(2025,1,31),'DATA INPUT'!$F$3:$F$3000,"&lt;&gt;*Exclude*"))/(COUNTIFS('DATA INPUT'!$B$3:$B$3000,'Report Tables'!AX$1,'DATA INPUT'!$A$3:$A$3000,"&gt;="&amp;DATE(2025,1,1),'DATA INPUT'!$A$3:$A$3000,"&lt;"&amp;DATE(2025,1,31),'DATA INPUT'!$F$3:$F$3000,"&lt;&gt;*Exclude*")),#N/A))</f>
        <v>#N/A</v>
      </c>
      <c r="AZ99" s="117" t="e">
        <f>IF($L$2="Yes",IFERROR((SUMIFS('DATA INPUT'!$C$3:$C$3000,'DATA INPUT'!$B$3:$B$3000,'Report Tables'!AX$1,'DATA INPUT'!$A$3:$A$3000,"&gt;="&amp;DATE(2025,1,1),'DATA INPUT'!$A$3:$A$3000,"&lt;"&amp;DATE(2025,1,31)))/COUNTIFS('DATA INPUT'!$B$3:$B$3000,'Report Tables'!AX$1,'DATA INPUT'!$A$3:$A$3000,"&gt;="&amp;DATE(2025,1,1),'DATA INPUT'!$A$3:$A$3000,"&lt;"&amp;DATE(2025,1,31)),#N/A),IFERROR((SUMIFS('DATA INPUT'!$C$3:$C$3000,'DATA INPUT'!$B$3:$B$3000,'Report Tables'!AX$1,'DATA INPUT'!$A$3:$A$3000,"&gt;="&amp;DATE(2025,1,1),'DATA INPUT'!$A$3:$A$3000,"&lt;"&amp;DATE(2025,1,31),'DATA INPUT'!$F$3:$F$3000,"&lt;&gt;*Exclude*"))/(COUNTIFS('DATA INPUT'!$B$3:$B$3000,'Report Tables'!AX$1,'DATA INPUT'!$A$3:$A$3000,"&gt;="&amp;DATE(2025,1,1),'DATA INPUT'!$A$3:$A$3000,"&lt;"&amp;DATE(2025,1,31),'DATA INPUT'!$F$3:$F$3000,"&lt;&gt;*Exclude*")),#N/A))</f>
        <v>#N/A</v>
      </c>
    </row>
    <row r="100" spans="25:52" x14ac:dyDescent="0.3">
      <c r="Y100" s="149"/>
      <c r="Z100" s="149" t="s">
        <v>13</v>
      </c>
      <c r="AA100" s="136" t="e">
        <f>IF($L$2="Yes",IF(SUMIFS('DATA INPUT'!$E$3:$E$3000,'DATA INPUT'!$B$3:$B$3000,'Report Tables'!AA$1,'DATA INPUT'!$A$3:$A$3000,"&gt;="&amp;DATE(2025,2,1),'DATA INPUT'!$A$3:$A$3000,"&lt;"&amp;DATE(2025,2,31))=0,#N/A,(SUMIFS('DATA INPUT'!$E$3:$E$3000,'DATA INPUT'!$B$3:$B$3000,'Report Tables'!AA$1,'DATA INPUT'!$A$3:$A$3000,"&gt;="&amp;DATE(2025,2,1),'DATA INPUT'!$A$3:$A$3000,"&lt;"&amp;DATE(2025,2,31)))),IF(SUMIFS('DATA INPUT'!$E$3:$E$3000,'DATA INPUT'!$B$3:$B$3000,'Report Tables'!AA$1,'DATA INPUT'!$A$3:$A$3000,"&gt;="&amp;DATE(2025,2,1),'DATA INPUT'!$A$3:$A$3000,"&lt;"&amp;DATE(2025,2,31),'DATA INPUT'!$F$3:$F$3000,"&lt;&gt;*Exclude*")=0,#N/A,(SUMIFS('DATA INPUT'!$E$3:$E$3000,'DATA INPUT'!$B$3:$B$3000,'Report Tables'!AA$1,'DATA INPUT'!$A$3:$A$3000,"&gt;="&amp;DATE(2025,2,1),'DATA INPUT'!$A$3:$A$3000,"&lt;"&amp;DATE(2025,2,31),'DATA INPUT'!$F$3:$F$3000,"&lt;&gt;*Exclude*"))))</f>
        <v>#N/A</v>
      </c>
      <c r="AB100" s="136" t="e">
        <f>IF($L$2="Yes",IF(SUMIFS('DATA INPUT'!$E$3:$E$3000,'DATA INPUT'!$B$3:$B$3000,'Report Tables'!AB$1,'DATA INPUT'!$A$3:$A$3000,"&gt;="&amp;DATE(2025,2,1),'DATA INPUT'!$A$3:$A$3000,"&lt;"&amp;DATE(2025,2,31))=0,#N/A,(SUMIFS('DATA INPUT'!$E$3:$E$3000,'DATA INPUT'!$B$3:$B$3000,'Report Tables'!AB$1,'DATA INPUT'!$A$3:$A$3000,"&gt;="&amp;DATE(2025,2,1),'DATA INPUT'!$A$3:$A$3000,"&lt;"&amp;DATE(2025,2,31)))),IF(SUMIFS('DATA INPUT'!$E$3:$E$3000,'DATA INPUT'!$B$3:$B$3000,'Report Tables'!AB$1,'DATA INPUT'!$A$3:$A$3000,"&gt;="&amp;DATE(2025,2,1),'DATA INPUT'!$A$3:$A$3000,"&lt;"&amp;DATE(2025,2,31),'DATA INPUT'!$F$3:$F$3000,"&lt;&gt;*Exclude*")=0,#N/A,(SUMIFS('DATA INPUT'!$E$3:$E$3000,'DATA INPUT'!$B$3:$B$3000,'Report Tables'!AB$1,'DATA INPUT'!$A$3:$A$3000,"&gt;="&amp;DATE(2025,2,1),'DATA INPUT'!$A$3:$A$3000,"&lt;"&amp;DATE(2025,2,31),'DATA INPUT'!$F$3:$F$3000,"&lt;&gt;*Exclude*"))))</f>
        <v>#N/A</v>
      </c>
      <c r="AC100" s="136" t="e">
        <f>IF($L$2="Yes",IF(SUMIFS('DATA INPUT'!$E$3:$E$3000,'DATA INPUT'!$B$3:$B$3000,'Report Tables'!AC$1,'DATA INPUT'!$A$3:$A$3000,"&gt;="&amp;DATE(2025,2,1),'DATA INPUT'!$A$3:$A$3000,"&lt;"&amp;DATE(2025,2,31))=0,#N/A,(SUMIFS('DATA INPUT'!$E$3:$E$3000,'DATA INPUT'!$B$3:$B$3000,'Report Tables'!AC$1,'DATA INPUT'!$A$3:$A$3000,"&gt;="&amp;DATE(2025,2,1),'DATA INPUT'!$A$3:$A$3000,"&lt;"&amp;DATE(2025,2,31)))),IF(SUMIFS('DATA INPUT'!$E$3:$E$3000,'DATA INPUT'!$B$3:$B$3000,'Report Tables'!AC$1,'DATA INPUT'!$A$3:$A$3000,"&gt;="&amp;DATE(2025,2,1),'DATA INPUT'!$A$3:$A$3000,"&lt;"&amp;DATE(2025,2,31),'DATA INPUT'!$F$3:$F$3000,"&lt;&gt;*Exclude*")=0,#N/A,(SUMIFS('DATA INPUT'!$E$3:$E$3000,'DATA INPUT'!$B$3:$B$3000,'Report Tables'!AC$1,'DATA INPUT'!$A$3:$A$3000,"&gt;="&amp;DATE(2025,2,1),'DATA INPUT'!$A$3:$A$3000,"&lt;"&amp;DATE(2025,2,31),'DATA INPUT'!$F$3:$F$3000,"&lt;&gt;*Exclude*"))))</f>
        <v>#N/A</v>
      </c>
      <c r="AD100" s="136" t="e">
        <f>IF($L$2="Yes",IF(SUMIFS('DATA INPUT'!$E$3:$E$3000,'DATA INPUT'!$B$3:$B$3000,'Report Tables'!AD$1,'DATA INPUT'!$A$3:$A$3000,"&gt;="&amp;DATE(2025,2,1),'DATA INPUT'!$A$3:$A$3000,"&lt;"&amp;DATE(2025,2,31))=0,#N/A,(SUMIFS('DATA INPUT'!$E$3:$E$3000,'DATA INPUT'!$B$3:$B$3000,'Report Tables'!AD$1,'DATA INPUT'!$A$3:$A$3000,"&gt;="&amp;DATE(2025,2,1),'DATA INPUT'!$A$3:$A$3000,"&lt;"&amp;DATE(2025,2,31)))),IF(SUMIFS('DATA INPUT'!$E$3:$E$3000,'DATA INPUT'!$B$3:$B$3000,'Report Tables'!AD$1,'DATA INPUT'!$A$3:$A$3000,"&gt;="&amp;DATE(2025,2,1),'DATA INPUT'!$A$3:$A$3000,"&lt;"&amp;DATE(2025,2,31),'DATA INPUT'!$F$3:$F$3000,"&lt;&gt;*Exclude*")=0,#N/A,(SUMIFS('DATA INPUT'!$E$3:$E$3000,'DATA INPUT'!$B$3:$B$3000,'Report Tables'!AD$1,'DATA INPUT'!$A$3:$A$3000,"&gt;="&amp;DATE(2025,2,1),'DATA INPUT'!$A$3:$A$3000,"&lt;"&amp;DATE(2025,2,31),'DATA INPUT'!$F$3:$F$3000,"&lt;&gt;*Exclude*"))))</f>
        <v>#N/A</v>
      </c>
      <c r="AE100" s="136" t="e">
        <f>IF($L$2="Yes",IF(SUMIFS('DATA INPUT'!$E$3:$E$3000,'DATA INPUT'!$B$3:$B$3000,'Report Tables'!AE$1,'DATA INPUT'!$A$3:$A$3000,"&gt;="&amp;DATE(2025,2,1),'DATA INPUT'!$A$3:$A$3000,"&lt;"&amp;DATE(2025,2,31))=0,#N/A,(SUMIFS('DATA INPUT'!$E$3:$E$3000,'DATA INPUT'!$B$3:$B$3000,'Report Tables'!AE$1,'DATA INPUT'!$A$3:$A$3000,"&gt;="&amp;DATE(2025,2,1),'DATA INPUT'!$A$3:$A$3000,"&lt;"&amp;DATE(2025,2,31)))),IF(SUMIFS('DATA INPUT'!$E$3:$E$3000,'DATA INPUT'!$B$3:$B$3000,'Report Tables'!AE$1,'DATA INPUT'!$A$3:$A$3000,"&gt;="&amp;DATE(2025,2,1),'DATA INPUT'!$A$3:$A$3000,"&lt;"&amp;DATE(2025,2,31),'DATA INPUT'!$F$3:$F$3000,"&lt;&gt;*Exclude*")=0,#N/A,(SUMIFS('DATA INPUT'!$E$3:$E$3000,'DATA INPUT'!$B$3:$B$3000,'Report Tables'!AE$1,'DATA INPUT'!$A$3:$A$3000,"&gt;="&amp;DATE(2025,2,1),'DATA INPUT'!$A$3:$A$3000,"&lt;"&amp;DATE(2025,2,31),'DATA INPUT'!$F$3:$F$3000,"&lt;&gt;*Exclude*"))))</f>
        <v>#N/A</v>
      </c>
      <c r="AF100" s="136" t="e">
        <f>IF($L$2="Yes",IF(SUMIFS('DATA INPUT'!$E$3:$E$3000,'DATA INPUT'!$B$3:$B$3000,'Report Tables'!AF$1,'DATA INPUT'!$A$3:$A$3000,"&gt;="&amp;DATE(2025,2,1),'DATA INPUT'!$A$3:$A$3000,"&lt;"&amp;DATE(2025,2,31))=0,#N/A,(SUMIFS('DATA INPUT'!$E$3:$E$3000,'DATA INPUT'!$B$3:$B$3000,'Report Tables'!AF$1,'DATA INPUT'!$A$3:$A$3000,"&gt;="&amp;DATE(2025,2,1),'DATA INPUT'!$A$3:$A$3000,"&lt;"&amp;DATE(2025,2,31)))),IF(SUMIFS('DATA INPUT'!$E$3:$E$3000,'DATA INPUT'!$B$3:$B$3000,'Report Tables'!AF$1,'DATA INPUT'!$A$3:$A$3000,"&gt;="&amp;DATE(2025,2,1),'DATA INPUT'!$A$3:$A$3000,"&lt;"&amp;DATE(2025,2,31),'DATA INPUT'!$F$3:$F$3000,"&lt;&gt;*Exclude*")=0,#N/A,(SUMIFS('DATA INPUT'!$E$3:$E$3000,'DATA INPUT'!$B$3:$B$3000,'Report Tables'!AF$1,'DATA INPUT'!$A$3:$A$3000,"&gt;="&amp;DATE(2025,2,1),'DATA INPUT'!$A$3:$A$3000,"&lt;"&amp;DATE(2025,2,31),'DATA INPUT'!$F$3:$F$3000,"&lt;&gt;*Exclude*"))))</f>
        <v>#N/A</v>
      </c>
      <c r="AG100" s="136" t="e">
        <f>IF($L$2="Yes",IF(SUMIFS('DATA INPUT'!$E$3:$E$3000,'DATA INPUT'!$B$3:$B$3000,'Report Tables'!AG$1,'DATA INPUT'!$A$3:$A$3000,"&gt;="&amp;DATE(2025,2,1),'DATA INPUT'!$A$3:$A$3000,"&lt;"&amp;DATE(2025,2,31))=0,#N/A,(SUMIFS('DATA INPUT'!$E$3:$E$3000,'DATA INPUT'!$B$3:$B$3000,'Report Tables'!AG$1,'DATA INPUT'!$A$3:$A$3000,"&gt;="&amp;DATE(2025,2,1),'DATA INPUT'!$A$3:$A$3000,"&lt;"&amp;DATE(2025,2,31)))),IF(SUMIFS('DATA INPUT'!$E$3:$E$3000,'DATA INPUT'!$B$3:$B$3000,'Report Tables'!AG$1,'DATA INPUT'!$A$3:$A$3000,"&gt;="&amp;DATE(2025,2,1),'DATA INPUT'!$A$3:$A$3000,"&lt;"&amp;DATE(2025,2,31),'DATA INPUT'!$F$3:$F$3000,"&lt;&gt;*Exclude*")=0,#N/A,(SUMIFS('DATA INPUT'!$E$3:$E$3000,'DATA INPUT'!$B$3:$B$3000,'Report Tables'!AG$1,'DATA INPUT'!$A$3:$A$3000,"&gt;="&amp;DATE(2025,2,1),'DATA INPUT'!$A$3:$A$3000,"&lt;"&amp;DATE(2025,2,31),'DATA INPUT'!$F$3:$F$3000,"&lt;&gt;*Exclude*"))))</f>
        <v>#N/A</v>
      </c>
      <c r="AH100" s="136" t="e">
        <f>IF($L$2="Yes",IF(SUMIFS('DATA INPUT'!$E$3:$E$3000,'DATA INPUT'!$B$3:$B$3000,'Report Tables'!AH$1,'DATA INPUT'!$A$3:$A$3000,"&gt;="&amp;DATE(2025,2,1),'DATA INPUT'!$A$3:$A$3000,"&lt;"&amp;DATE(2025,2,31))=0,#N/A,(SUMIFS('DATA INPUT'!$E$3:$E$3000,'DATA INPUT'!$B$3:$B$3000,'Report Tables'!AH$1,'DATA INPUT'!$A$3:$A$3000,"&gt;="&amp;DATE(2025,2,1),'DATA INPUT'!$A$3:$A$3000,"&lt;"&amp;DATE(2025,2,31)))),IF(SUMIFS('DATA INPUT'!$E$3:$E$3000,'DATA INPUT'!$B$3:$B$3000,'Report Tables'!AH$1,'DATA INPUT'!$A$3:$A$3000,"&gt;="&amp;DATE(2025,2,1),'DATA INPUT'!$A$3:$A$3000,"&lt;"&amp;DATE(2025,2,31),'DATA INPUT'!$F$3:$F$3000,"&lt;&gt;*Exclude*")=0,#N/A,(SUMIFS('DATA INPUT'!$E$3:$E$3000,'DATA INPUT'!$B$3:$B$3000,'Report Tables'!AH$1,'DATA INPUT'!$A$3:$A$3000,"&gt;="&amp;DATE(2025,2,1),'DATA INPUT'!$A$3:$A$3000,"&lt;"&amp;DATE(2025,2,31),'DATA INPUT'!$F$3:$F$3000,"&lt;&gt;*Exclude*"))))</f>
        <v>#N/A</v>
      </c>
      <c r="AI100" s="136" t="e">
        <f t="shared" si="23"/>
        <v>#N/A</v>
      </c>
      <c r="AJ100" s="136" t="e">
        <f>IF($L$2="Yes",IF(SUMIFS('DATA INPUT'!$D$3:$D$3000,'DATA INPUT'!$A$3:$A$3000,"&gt;="&amp;DATE(2025,2,1),'DATA INPUT'!$A$3:$A$3000,"&lt;"&amp;DATE(2025,2,31),'DATA INPUT'!$G$3:$G$3000,"&lt;&gt;*School service*")=0,#N/A,(SUMIFS('DATA INPUT'!$D$3:$D$3000,'DATA INPUT'!$A$3:$A$3000,"&gt;="&amp;DATE(2025,2,1),'DATA INPUT'!$A$3:$A$3000,"&lt;"&amp;DATE(2025,2,31),'DATA INPUT'!$G$3:$G$3000,"&lt;&gt;*School service*"))),IF(SUMIFS('DATA INPUT'!$D$3:$D$3000,'DATA INPUT'!$A$3:$A$3000,"&gt;="&amp;DATE(2025,2,1),'DATA INPUT'!$A$3:$A$3000,"&lt;"&amp;DATE(2025,2,31),'DATA INPUT'!$F$3:$F$3000,"&lt;&gt;*Exclude*",'DATA INPUT'!$G$3:$G$3000,"&lt;&gt;*School service*")=0,#N/A,(SUMIFS('DATA INPUT'!$D$3:$D$3000,'DATA INPUT'!$A$3:$A$3000,"&gt;="&amp;DATE(2025,2,1),'DATA INPUT'!$A$3:$A$3000,"&lt;"&amp;DATE(2025,2,31),'DATA INPUT'!$F$3:$F$3000,"&lt;&gt;*Exclude*",'DATA INPUT'!$G$3:$G$3000,"&lt;&gt;*School service*"))))</f>
        <v>#N/A</v>
      </c>
      <c r="AK100" s="136" t="e">
        <f>AI100-AJ100</f>
        <v>#N/A</v>
      </c>
      <c r="AM100" s="117" t="e">
        <f>IF($L$2="Yes",IFERROR((SUMIFS('DATA INPUT'!$E$3:$E$3000,'DATA INPUT'!$B$3:$B$3000,'Report Tables'!AM$1,'DATA INPUT'!$A$3:$A$3000,"&gt;="&amp;DATE(2025,2,1),'DATA INPUT'!$A$3:$A$3000,"&lt;"&amp;DATE(2025,2,31)))/COUNTIFS('DATA INPUT'!$B$3:$B$3000,'Report Tables'!AM$1,'DATA INPUT'!$A$3:$A$3000,"&gt;="&amp;DATE(2025,2,1),'DATA INPUT'!$A$3:$A$3000,"&lt;"&amp;DATE(2025,2,31)),#N/A),IFERROR((SUMIFS('DATA INPUT'!$E$3:$E$3000,'DATA INPUT'!$B$3:$B$3000,'Report Tables'!AM$1,'DATA INPUT'!$A$3:$A$3000,"&gt;="&amp;DATE(2025,2,1),'DATA INPUT'!$A$3:$A$3000,"&lt;"&amp;DATE(2025,2,31),'DATA INPUT'!$F$3:$F$3000,"&lt;&gt;*Exclude*"))/(COUNTIFS('DATA INPUT'!$B$3:$B$3000,'Report Tables'!AM$1,'DATA INPUT'!$A$3:$A$3000,"&gt;="&amp;DATE(2025,2,1),'DATA INPUT'!$A$3:$A$3000,"&lt;"&amp;DATE(2025,2,31),'DATA INPUT'!$F$3:$F$3000,"&lt;&gt;*Exclude*")),#N/A))</f>
        <v>#N/A</v>
      </c>
      <c r="AN100" s="117" t="e">
        <f>IF($L$2="Yes",IFERROR((SUMIFS('DATA INPUT'!$E$3:$E$3000,'DATA INPUT'!$B$3:$B$3000,'Report Tables'!AN$1,'DATA INPUT'!$A$3:$A$3000,"&gt;="&amp;DATE(2025,2,1),'DATA INPUT'!$A$3:$A$3000,"&lt;"&amp;DATE(2025,2,31)))/COUNTIFS('DATA INPUT'!$B$3:$B$3000,'Report Tables'!AN$1,'DATA INPUT'!$A$3:$A$3000,"&gt;="&amp;DATE(2025,2,1),'DATA INPUT'!$A$3:$A$3000,"&lt;"&amp;DATE(2025,2,31)),#N/A),IFERROR((SUMIFS('DATA INPUT'!$E$3:$E$3000,'DATA INPUT'!$B$3:$B$3000,'Report Tables'!AN$1,'DATA INPUT'!$A$3:$A$3000,"&gt;="&amp;DATE(2025,2,1),'DATA INPUT'!$A$3:$A$3000,"&lt;"&amp;DATE(2025,2,31),'DATA INPUT'!$F$3:$F$3000,"&lt;&gt;*Exclude*"))/(COUNTIFS('DATA INPUT'!$B$3:$B$3000,'Report Tables'!AN$1,'DATA INPUT'!$A$3:$A$3000,"&gt;="&amp;DATE(2025,2,1),'DATA INPUT'!$A$3:$A$3000,"&lt;"&amp;DATE(2025,2,31),'DATA INPUT'!$F$3:$F$3000,"&lt;&gt;*Exclude*")),#N/A))</f>
        <v>#N/A</v>
      </c>
      <c r="AO100" s="117" t="e">
        <f>IF($L$2="Yes",IFERROR((SUMIFS('DATA INPUT'!$E$3:$E$3000,'DATA INPUT'!$B$3:$B$3000,'Report Tables'!AO$1,'DATA INPUT'!$A$3:$A$3000,"&gt;="&amp;DATE(2025,2,1),'DATA INPUT'!$A$3:$A$3000,"&lt;"&amp;DATE(2025,2,31)))/COUNTIFS('DATA INPUT'!$B$3:$B$3000,'Report Tables'!AO$1,'DATA INPUT'!$A$3:$A$3000,"&gt;="&amp;DATE(2025,2,1),'DATA INPUT'!$A$3:$A$3000,"&lt;"&amp;DATE(2025,2,31)),#N/A),IFERROR((SUMIFS('DATA INPUT'!$E$3:$E$3000,'DATA INPUT'!$B$3:$B$3000,'Report Tables'!AO$1,'DATA INPUT'!$A$3:$A$3000,"&gt;="&amp;DATE(2025,2,1),'DATA INPUT'!$A$3:$A$3000,"&lt;"&amp;DATE(2025,2,31),'DATA INPUT'!$F$3:$F$3000,"&lt;&gt;*Exclude*"))/(COUNTIFS('DATA INPUT'!$B$3:$B$3000,'Report Tables'!AO$1,'DATA INPUT'!$A$3:$A$3000,"&gt;="&amp;DATE(2025,2,1),'DATA INPUT'!$A$3:$A$3000,"&lt;"&amp;DATE(2025,2,31),'DATA INPUT'!$F$3:$F$3000,"&lt;&gt;*Exclude*")),#N/A))</f>
        <v>#N/A</v>
      </c>
      <c r="AP100" s="117" t="e">
        <f>IF($L$2="Yes",IFERROR((SUMIFS('DATA INPUT'!$E$3:$E$3000,'DATA INPUT'!$B$3:$B$3000,'Report Tables'!AP$1,'DATA INPUT'!$A$3:$A$3000,"&gt;="&amp;DATE(2025,2,1),'DATA INPUT'!$A$3:$A$3000,"&lt;"&amp;DATE(2025,2,31)))/COUNTIFS('DATA INPUT'!$B$3:$B$3000,'Report Tables'!AP$1,'DATA INPUT'!$A$3:$A$3000,"&gt;="&amp;DATE(2025,2,1),'DATA INPUT'!$A$3:$A$3000,"&lt;"&amp;DATE(2025,2,31)),#N/A),IFERROR((SUMIFS('DATA INPUT'!$E$3:$E$3000,'DATA INPUT'!$B$3:$B$3000,'Report Tables'!AP$1,'DATA INPUT'!$A$3:$A$3000,"&gt;="&amp;DATE(2025,2,1),'DATA INPUT'!$A$3:$A$3000,"&lt;"&amp;DATE(2025,2,31),'DATA INPUT'!$F$3:$F$3000,"&lt;&gt;*Exclude*"))/(COUNTIFS('DATA INPUT'!$B$3:$B$3000,'Report Tables'!AP$1,'DATA INPUT'!$A$3:$A$3000,"&gt;="&amp;DATE(2025,2,1),'DATA INPUT'!$A$3:$A$3000,"&lt;"&amp;DATE(2025,2,31),'DATA INPUT'!$F$3:$F$3000,"&lt;&gt;*Exclude*")),#N/A))</f>
        <v>#N/A</v>
      </c>
      <c r="AQ100" s="117" t="e">
        <f>IF($L$2="Yes",IFERROR((SUMIFS('DATA INPUT'!$E$3:$E$3000,'DATA INPUT'!$B$3:$B$3000,'Report Tables'!AQ$1,'DATA INPUT'!$A$3:$A$3000,"&gt;="&amp;DATE(2025,2,1),'DATA INPUT'!$A$3:$A$3000,"&lt;"&amp;DATE(2025,2,31)))/COUNTIFS('DATA INPUT'!$B$3:$B$3000,'Report Tables'!AQ$1,'DATA INPUT'!$A$3:$A$3000,"&gt;="&amp;DATE(2025,2,1),'DATA INPUT'!$A$3:$A$3000,"&lt;"&amp;DATE(2025,2,31)),#N/A),IFERROR((SUMIFS('DATA INPUT'!$E$3:$E$3000,'DATA INPUT'!$B$3:$B$3000,'Report Tables'!AQ$1,'DATA INPUT'!$A$3:$A$3000,"&gt;="&amp;DATE(2025,2,1),'DATA INPUT'!$A$3:$A$3000,"&lt;"&amp;DATE(2025,2,31),'DATA INPUT'!$F$3:$F$3000,"&lt;&gt;*Exclude*"))/(COUNTIFS('DATA INPUT'!$B$3:$B$3000,'Report Tables'!AQ$1,'DATA INPUT'!$A$3:$A$3000,"&gt;="&amp;DATE(2025,2,1),'DATA INPUT'!$A$3:$A$3000,"&lt;"&amp;DATE(2025,2,31),'DATA INPUT'!$F$3:$F$3000,"&lt;&gt;*Exclude*")),#N/A))</f>
        <v>#N/A</v>
      </c>
      <c r="AR100" s="117" t="e">
        <f>IF($L$2="Yes",IFERROR((SUMIFS('DATA INPUT'!$E$3:$E$3000,'DATA INPUT'!$B$3:$B$3000,'Report Tables'!AR$1,'DATA INPUT'!$A$3:$A$3000,"&gt;="&amp;DATE(2025,2,1),'DATA INPUT'!$A$3:$A$3000,"&lt;"&amp;DATE(2025,2,31)))/COUNTIFS('DATA INPUT'!$B$3:$B$3000,'Report Tables'!AR$1,'DATA INPUT'!$A$3:$A$3000,"&gt;="&amp;DATE(2025,2,1),'DATA INPUT'!$A$3:$A$3000,"&lt;"&amp;DATE(2025,2,31)),#N/A),IFERROR((SUMIFS('DATA INPUT'!$E$3:$E$3000,'DATA INPUT'!$B$3:$B$3000,'Report Tables'!AR$1,'DATA INPUT'!$A$3:$A$3000,"&gt;="&amp;DATE(2025,2,1),'DATA INPUT'!$A$3:$A$3000,"&lt;"&amp;DATE(2025,2,31),'DATA INPUT'!$F$3:$F$3000,"&lt;&gt;*Exclude*"))/(COUNTIFS('DATA INPUT'!$B$3:$B$3000,'Report Tables'!AR$1,'DATA INPUT'!$A$3:$A$3000,"&gt;="&amp;DATE(2025,2,1),'DATA INPUT'!$A$3:$A$3000,"&lt;"&amp;DATE(2025,2,31),'DATA INPUT'!$F$3:$F$3000,"&lt;&gt;*Exclude*")),#N/A))</f>
        <v>#N/A</v>
      </c>
      <c r="AS100" s="117" t="e">
        <f>IF($L$2="Yes",IFERROR((SUMIFS('DATA INPUT'!$E$3:$E$3000,'DATA INPUT'!$B$3:$B$3000,'Report Tables'!AS$1,'DATA INPUT'!$A$3:$A$3000,"&gt;="&amp;DATE(2025,2,1),'DATA INPUT'!$A$3:$A$3000,"&lt;"&amp;DATE(2025,2,31)))/COUNTIFS('DATA INPUT'!$B$3:$B$3000,'Report Tables'!AS$1,'DATA INPUT'!$A$3:$A$3000,"&gt;="&amp;DATE(2025,2,1),'DATA INPUT'!$A$3:$A$3000,"&lt;"&amp;DATE(2025,2,31)),#N/A),IFERROR((SUMIFS('DATA INPUT'!$E$3:$E$3000,'DATA INPUT'!$B$3:$B$3000,'Report Tables'!AS$1,'DATA INPUT'!$A$3:$A$3000,"&gt;="&amp;DATE(2025,2,1),'DATA INPUT'!$A$3:$A$3000,"&lt;"&amp;DATE(2025,2,31),'DATA INPUT'!$F$3:$F$3000,"&lt;&gt;*Exclude*"))/(COUNTIFS('DATA INPUT'!$B$3:$B$3000,'Report Tables'!AS$1,'DATA INPUT'!$A$3:$A$3000,"&gt;="&amp;DATE(2025,2,1),'DATA INPUT'!$A$3:$A$3000,"&lt;"&amp;DATE(2025,2,31),'DATA INPUT'!$F$3:$F$3000,"&lt;&gt;*Exclude*")),#N/A))</f>
        <v>#N/A</v>
      </c>
      <c r="AT100" s="117" t="e">
        <f>IF($L$2="Yes",IFERROR((SUMIFS('DATA INPUT'!$E$3:$E$3000,'DATA INPUT'!$B$3:$B$3000,'Report Tables'!AT$1,'DATA INPUT'!$A$3:$A$3000,"&gt;="&amp;DATE(2025,2,1),'DATA INPUT'!$A$3:$A$3000,"&lt;"&amp;DATE(2025,2,31)))/COUNTIFS('DATA INPUT'!$B$3:$B$3000,'Report Tables'!AT$1,'DATA INPUT'!$A$3:$A$3000,"&gt;="&amp;DATE(2025,2,1),'DATA INPUT'!$A$3:$A$3000,"&lt;"&amp;DATE(2025,2,31)),#N/A),IFERROR((SUMIFS('DATA INPUT'!$E$3:$E$3000,'DATA INPUT'!$B$3:$B$3000,'Report Tables'!AT$1,'DATA INPUT'!$A$3:$A$3000,"&gt;="&amp;DATE(2025,2,1),'DATA INPUT'!$A$3:$A$3000,"&lt;"&amp;DATE(2025,2,31),'DATA INPUT'!$F$3:$F$3000,"&lt;&gt;*Exclude*"))/(COUNTIFS('DATA INPUT'!$B$3:$B$3000,'Report Tables'!AT$1,'DATA INPUT'!$A$3:$A$3000,"&gt;="&amp;DATE(2025,2,1),'DATA INPUT'!$A$3:$A$3000,"&lt;"&amp;DATE(2025,2,31),'DATA INPUT'!$F$3:$F$3000,"&lt;&gt;*Exclude*")),#N/A))</f>
        <v>#N/A</v>
      </c>
      <c r="AU100" s="117" t="e">
        <f t="shared" si="24"/>
        <v>#N/A</v>
      </c>
      <c r="AV100" s="117" t="e">
        <f>IF($L$2="Yes",IFERROR((SUMIFS('DATA INPUT'!$D$3:$D$3000,'DATA INPUT'!$A$3:$A$3000,"&gt;="&amp;DATE(2025,2,1),'DATA INPUT'!$A$3:$A$3000,"&lt;"&amp;DATE(2025,2,31),'DATA INPUT'!$G$3:$G$3000,"&lt;&gt;*School service*"))/COUNTIFS('DATA INPUT'!$A$3:$A$3000,"&gt;="&amp;DATE(2025,2,1),'DATA INPUT'!$A$3:$A$3000,"&lt;"&amp;DATE(2025,2,31),'DATA INPUT'!$G$3:$G$3000,"&lt;&gt;*School service*",'DATA INPUT'!$D$3:$D$3000,"&lt;&gt;"&amp;""),#N/A),IFERROR((SUMIFS('DATA INPUT'!$D$3:$D$3000,'DATA INPUT'!$A$3:$A$3000,"&gt;="&amp;DATE(2025,2,1),'DATA INPUT'!$A$3:$A$3000,"&lt;"&amp;DATE(2025,2,31),'DATA INPUT'!$F$3:$F$3000,"&lt;&gt;*Exclude*",'DATA INPUT'!$G$3:$G$3000,"&lt;&gt;*School service*"))/(COUNTIFS('DATA INPUT'!$A$3:$A$3000,"&gt;="&amp;DATE(2025,2,1),'DATA INPUT'!$A$3:$A$3000,"&lt;"&amp;DATE(2025,2,31),'DATA INPUT'!$F$3:$F$3000,"&lt;&gt;*Exclude*",'DATA INPUT'!$G$3:$G$3000,"&lt;&gt;*School service*",'DATA INPUT'!$D$3:$D$3000,"&lt;&gt;"&amp;"")),#N/A))</f>
        <v>#N/A</v>
      </c>
      <c r="AW100" s="117" t="e">
        <f t="shared" si="25"/>
        <v>#N/A</v>
      </c>
      <c r="AX100" s="117" t="e">
        <f>IF($L$2="Yes",IFERROR((SUMIFS('DATA INPUT'!$E$3:$E$3000,'DATA INPUT'!$B$3:$B$3000,'Report Tables'!AX$1,'DATA INPUT'!$A$3:$A$3000,"&gt;="&amp;DATE(2025,2,1),'DATA INPUT'!$A$3:$A$3000,"&lt;"&amp;DATE(2025,2,31)))/COUNTIFS('DATA INPUT'!$B$3:$B$3000,'Report Tables'!AX$1,'DATA INPUT'!$A$3:$A$3000,"&gt;="&amp;DATE(2025,2,1),'DATA INPUT'!$A$3:$A$3000,"&lt;"&amp;DATE(2025,2,31)),#N/A),IFERROR((SUMIFS('DATA INPUT'!$E$3:$E$3000,'DATA INPUT'!$B$3:$B$3000,'Report Tables'!AX$1,'DATA INPUT'!$A$3:$A$3000,"&gt;="&amp;DATE(2025,2,1),'DATA INPUT'!$A$3:$A$3000,"&lt;"&amp;DATE(2025,2,31),'DATA INPUT'!$F$3:$F$3000,"&lt;&gt;*Exclude*"))/(COUNTIFS('DATA INPUT'!$B$3:$B$3000,'Report Tables'!AX$1,'DATA INPUT'!$A$3:$A$3000,"&gt;="&amp;DATE(2025,2,1),'DATA INPUT'!$A$3:$A$3000,"&lt;"&amp;DATE(2025,2,31),'DATA INPUT'!$F$3:$F$3000,"&lt;&gt;*Exclude*")),#N/A))</f>
        <v>#N/A</v>
      </c>
      <c r="AY100" s="117" t="e">
        <f>IF($L$2="Yes",IFERROR((SUMIFS('DATA INPUT'!$D$3:$D$3000,'DATA INPUT'!$B$3:$B$3000,'Report Tables'!AX$1,'DATA INPUT'!$A$3:$A$3000,"&gt;="&amp;DATE(2025,2,1),'DATA INPUT'!$A$3:$A$3000,"&lt;"&amp;DATE(2025,2,31)))/COUNTIFS('DATA INPUT'!$B$3:$B$3000,'Report Tables'!AX$1,'DATA INPUT'!$A$3:$A$3000,"&gt;="&amp;DATE(2025,2,1),'DATA INPUT'!$A$3:$A$3000,"&lt;"&amp;DATE(2025,2,31)),#N/A),IFERROR((SUMIFS('DATA INPUT'!$D$3:$D$3000,'DATA INPUT'!$B$3:$B$3000,'Report Tables'!AX$1,'DATA INPUT'!$A$3:$A$3000,"&gt;="&amp;DATE(2025,2,1),'DATA INPUT'!$A$3:$A$3000,"&lt;"&amp;DATE(2025,2,31),'DATA INPUT'!$F$3:$F$3000,"&lt;&gt;*Exclude*"))/(COUNTIFS('DATA INPUT'!$B$3:$B$3000,'Report Tables'!AX$1,'DATA INPUT'!$A$3:$A$3000,"&gt;="&amp;DATE(2025,2,1),'DATA INPUT'!$A$3:$A$3000,"&lt;"&amp;DATE(2025,2,31),'DATA INPUT'!$F$3:$F$3000,"&lt;&gt;*Exclude*")),#N/A))</f>
        <v>#N/A</v>
      </c>
      <c r="AZ100" s="117" t="e">
        <f>IF($L$2="Yes",IFERROR((SUMIFS('DATA INPUT'!$C$3:$C$3000,'DATA INPUT'!$B$3:$B$3000,'Report Tables'!AX$1,'DATA INPUT'!$A$3:$A$3000,"&gt;="&amp;DATE(2025,2,1),'DATA INPUT'!$A$3:$A$3000,"&lt;"&amp;DATE(2025,2,31)))/COUNTIFS('DATA INPUT'!$B$3:$B$3000,'Report Tables'!AX$1,'DATA INPUT'!$A$3:$A$3000,"&gt;="&amp;DATE(2025,2,1),'DATA INPUT'!$A$3:$A$3000,"&lt;"&amp;DATE(2025,2,31)),#N/A),IFERROR((SUMIFS('DATA INPUT'!$C$3:$C$3000,'DATA INPUT'!$B$3:$B$3000,'Report Tables'!AX$1,'DATA INPUT'!$A$3:$A$3000,"&gt;="&amp;DATE(2025,2,1),'DATA INPUT'!$A$3:$A$3000,"&lt;"&amp;DATE(2025,2,31),'DATA INPUT'!$F$3:$F$3000,"&lt;&gt;*Exclude*"))/(COUNTIFS('DATA INPUT'!$B$3:$B$3000,'Report Tables'!AX$1,'DATA INPUT'!$A$3:$A$3000,"&gt;="&amp;DATE(2025,2,1),'DATA INPUT'!$A$3:$A$3000,"&lt;"&amp;DATE(2025,2,31),'DATA INPUT'!$F$3:$F$3000,"&lt;&gt;*Exclude*")),#N/A))</f>
        <v>#N/A</v>
      </c>
    </row>
    <row r="101" spans="25:52" x14ac:dyDescent="0.3">
      <c r="Y101" s="149"/>
      <c r="Z101" s="149" t="s">
        <v>14</v>
      </c>
      <c r="AA101" s="136" t="e">
        <f>IF($L$2="Yes",IF(SUMIFS('DATA INPUT'!$E$3:$E$3000,'DATA INPUT'!$B$3:$B$3000,'Report Tables'!AA$1,'DATA INPUT'!$A$3:$A$3000,"&gt;="&amp;DATE(2025,3,1),'DATA INPUT'!$A$3:$A$3000,"&lt;"&amp;DATE(2025,3,31))=0,#N/A,(SUMIFS('DATA INPUT'!$E$3:$E$3000,'DATA INPUT'!$B$3:$B$3000,'Report Tables'!AA$1,'DATA INPUT'!$A$3:$A$3000,"&gt;="&amp;DATE(2025,3,1),'DATA INPUT'!$A$3:$A$3000,"&lt;"&amp;DATE(2025,3,31)))),IF(SUMIFS('DATA INPUT'!$E$3:$E$3000,'DATA INPUT'!$B$3:$B$3000,'Report Tables'!AA$1,'DATA INPUT'!$A$3:$A$3000,"&gt;="&amp;DATE(2025,3,1),'DATA INPUT'!$A$3:$A$3000,"&lt;"&amp;DATE(2025,3,31),'DATA INPUT'!$F$3:$F$3000,"&lt;&gt;*Exclude*")=0,#N/A,(SUMIFS('DATA INPUT'!$E$3:$E$3000,'DATA INPUT'!$B$3:$B$3000,'Report Tables'!AA$1,'DATA INPUT'!$A$3:$A$3000,"&gt;="&amp;DATE(2025,3,1),'DATA INPUT'!$A$3:$A$3000,"&lt;"&amp;DATE(2025,3,31),'DATA INPUT'!$F$3:$F$3000,"&lt;&gt;*Exclude*"))))</f>
        <v>#N/A</v>
      </c>
      <c r="AB101" s="136" t="e">
        <f>IF($L$2="Yes",IF(SUMIFS('DATA INPUT'!$E$3:$E$3000,'DATA INPUT'!$B$3:$B$3000,'Report Tables'!AB$1,'DATA INPUT'!$A$3:$A$3000,"&gt;="&amp;DATE(2025,3,1),'DATA INPUT'!$A$3:$A$3000,"&lt;"&amp;DATE(2025,3,31))=0,#N/A,(SUMIFS('DATA INPUT'!$E$3:$E$3000,'DATA INPUT'!$B$3:$B$3000,'Report Tables'!AB$1,'DATA INPUT'!$A$3:$A$3000,"&gt;="&amp;DATE(2025,3,1),'DATA INPUT'!$A$3:$A$3000,"&lt;"&amp;DATE(2025,3,31)))),IF(SUMIFS('DATA INPUT'!$E$3:$E$3000,'DATA INPUT'!$B$3:$B$3000,'Report Tables'!AB$1,'DATA INPUT'!$A$3:$A$3000,"&gt;="&amp;DATE(2025,3,1),'DATA INPUT'!$A$3:$A$3000,"&lt;"&amp;DATE(2025,3,31),'DATA INPUT'!$F$3:$F$3000,"&lt;&gt;*Exclude*")=0,#N/A,(SUMIFS('DATA INPUT'!$E$3:$E$3000,'DATA INPUT'!$B$3:$B$3000,'Report Tables'!AB$1,'DATA INPUT'!$A$3:$A$3000,"&gt;="&amp;DATE(2025,3,1),'DATA INPUT'!$A$3:$A$3000,"&lt;"&amp;DATE(2025,3,31),'DATA INPUT'!$F$3:$F$3000,"&lt;&gt;*Exclude*"))))</f>
        <v>#N/A</v>
      </c>
      <c r="AC101" s="136" t="e">
        <f>IF($L$2="Yes",IF(SUMIFS('DATA INPUT'!$E$3:$E$3000,'DATA INPUT'!$B$3:$B$3000,'Report Tables'!AC$1,'DATA INPUT'!$A$3:$A$3000,"&gt;="&amp;DATE(2025,3,1),'DATA INPUT'!$A$3:$A$3000,"&lt;"&amp;DATE(2025,3,31))=0,#N/A,(SUMIFS('DATA INPUT'!$E$3:$E$3000,'DATA INPUT'!$B$3:$B$3000,'Report Tables'!AC$1,'DATA INPUT'!$A$3:$A$3000,"&gt;="&amp;DATE(2025,3,1),'DATA INPUT'!$A$3:$A$3000,"&lt;"&amp;DATE(2025,3,31)))),IF(SUMIFS('DATA INPUT'!$E$3:$E$3000,'DATA INPUT'!$B$3:$B$3000,'Report Tables'!AC$1,'DATA INPUT'!$A$3:$A$3000,"&gt;="&amp;DATE(2025,3,1),'DATA INPUT'!$A$3:$A$3000,"&lt;"&amp;DATE(2025,3,31),'DATA INPUT'!$F$3:$F$3000,"&lt;&gt;*Exclude*")=0,#N/A,(SUMIFS('DATA INPUT'!$E$3:$E$3000,'DATA INPUT'!$B$3:$B$3000,'Report Tables'!AC$1,'DATA INPUT'!$A$3:$A$3000,"&gt;="&amp;DATE(2025,3,1),'DATA INPUT'!$A$3:$A$3000,"&lt;"&amp;DATE(2025,3,31),'DATA INPUT'!$F$3:$F$3000,"&lt;&gt;*Exclude*"))))</f>
        <v>#N/A</v>
      </c>
      <c r="AD101" s="136" t="e">
        <f>IF($L$2="Yes",IF(SUMIFS('DATA INPUT'!$E$3:$E$3000,'DATA INPUT'!$B$3:$B$3000,'Report Tables'!AD$1,'DATA INPUT'!$A$3:$A$3000,"&gt;="&amp;DATE(2025,3,1),'DATA INPUT'!$A$3:$A$3000,"&lt;"&amp;DATE(2025,3,31))=0,#N/A,(SUMIFS('DATA INPUT'!$E$3:$E$3000,'DATA INPUT'!$B$3:$B$3000,'Report Tables'!AD$1,'DATA INPUT'!$A$3:$A$3000,"&gt;="&amp;DATE(2025,3,1),'DATA INPUT'!$A$3:$A$3000,"&lt;"&amp;DATE(2025,3,31)))),IF(SUMIFS('DATA INPUT'!$E$3:$E$3000,'DATA INPUT'!$B$3:$B$3000,'Report Tables'!AD$1,'DATA INPUT'!$A$3:$A$3000,"&gt;="&amp;DATE(2025,3,1),'DATA INPUT'!$A$3:$A$3000,"&lt;"&amp;DATE(2025,3,31),'DATA INPUT'!$F$3:$F$3000,"&lt;&gt;*Exclude*")=0,#N/A,(SUMIFS('DATA INPUT'!$E$3:$E$3000,'DATA INPUT'!$B$3:$B$3000,'Report Tables'!AD$1,'DATA INPUT'!$A$3:$A$3000,"&gt;="&amp;DATE(2025,3,1),'DATA INPUT'!$A$3:$A$3000,"&lt;"&amp;DATE(2025,3,31),'DATA INPUT'!$F$3:$F$3000,"&lt;&gt;*Exclude*"))))</f>
        <v>#N/A</v>
      </c>
      <c r="AE101" s="136" t="e">
        <f>IF($L$2="Yes",IF(SUMIFS('DATA INPUT'!$E$3:$E$3000,'DATA INPUT'!$B$3:$B$3000,'Report Tables'!AE$1,'DATA INPUT'!$A$3:$A$3000,"&gt;="&amp;DATE(2025,3,1),'DATA INPUT'!$A$3:$A$3000,"&lt;"&amp;DATE(2025,3,31))=0,#N/A,(SUMIFS('DATA INPUT'!$E$3:$E$3000,'DATA INPUT'!$B$3:$B$3000,'Report Tables'!AE$1,'DATA INPUT'!$A$3:$A$3000,"&gt;="&amp;DATE(2025,3,1),'DATA INPUT'!$A$3:$A$3000,"&lt;"&amp;DATE(2025,3,31)))),IF(SUMIFS('DATA INPUT'!$E$3:$E$3000,'DATA INPUT'!$B$3:$B$3000,'Report Tables'!AE$1,'DATA INPUT'!$A$3:$A$3000,"&gt;="&amp;DATE(2025,3,1),'DATA INPUT'!$A$3:$A$3000,"&lt;"&amp;DATE(2025,3,31),'DATA INPUT'!$F$3:$F$3000,"&lt;&gt;*Exclude*")=0,#N/A,(SUMIFS('DATA INPUT'!$E$3:$E$3000,'DATA INPUT'!$B$3:$B$3000,'Report Tables'!AE$1,'DATA INPUT'!$A$3:$A$3000,"&gt;="&amp;DATE(2025,3,1),'DATA INPUT'!$A$3:$A$3000,"&lt;"&amp;DATE(2025,3,31),'DATA INPUT'!$F$3:$F$3000,"&lt;&gt;*Exclude*"))))</f>
        <v>#N/A</v>
      </c>
      <c r="AF101" s="136" t="e">
        <f>IF($L$2="Yes",IF(SUMIFS('DATA INPUT'!$E$3:$E$3000,'DATA INPUT'!$B$3:$B$3000,'Report Tables'!AF$1,'DATA INPUT'!$A$3:$A$3000,"&gt;="&amp;DATE(2025,3,1),'DATA INPUT'!$A$3:$A$3000,"&lt;"&amp;DATE(2025,3,31))=0,#N/A,(SUMIFS('DATA INPUT'!$E$3:$E$3000,'DATA INPUT'!$B$3:$B$3000,'Report Tables'!AF$1,'DATA INPUT'!$A$3:$A$3000,"&gt;="&amp;DATE(2025,3,1),'DATA INPUT'!$A$3:$A$3000,"&lt;"&amp;DATE(2025,3,31)))),IF(SUMIFS('DATA INPUT'!$E$3:$E$3000,'DATA INPUT'!$B$3:$B$3000,'Report Tables'!AF$1,'DATA INPUT'!$A$3:$A$3000,"&gt;="&amp;DATE(2025,3,1),'DATA INPUT'!$A$3:$A$3000,"&lt;"&amp;DATE(2025,3,31),'DATA INPUT'!$F$3:$F$3000,"&lt;&gt;*Exclude*")=0,#N/A,(SUMIFS('DATA INPUT'!$E$3:$E$3000,'DATA INPUT'!$B$3:$B$3000,'Report Tables'!AF$1,'DATA INPUT'!$A$3:$A$3000,"&gt;="&amp;DATE(2025,3,1),'DATA INPUT'!$A$3:$A$3000,"&lt;"&amp;DATE(2025,3,31),'DATA INPUT'!$F$3:$F$3000,"&lt;&gt;*Exclude*"))))</f>
        <v>#N/A</v>
      </c>
      <c r="AG101" s="136" t="e">
        <f>IF($L$2="Yes",IF(SUMIFS('DATA INPUT'!$E$3:$E$3000,'DATA INPUT'!$B$3:$B$3000,'Report Tables'!AG$1,'DATA INPUT'!$A$3:$A$3000,"&gt;="&amp;DATE(2025,3,1),'DATA INPUT'!$A$3:$A$3000,"&lt;"&amp;DATE(2025,3,31))=0,#N/A,(SUMIFS('DATA INPUT'!$E$3:$E$3000,'DATA INPUT'!$B$3:$B$3000,'Report Tables'!AG$1,'DATA INPUT'!$A$3:$A$3000,"&gt;="&amp;DATE(2025,3,1),'DATA INPUT'!$A$3:$A$3000,"&lt;"&amp;DATE(2025,3,31)))),IF(SUMIFS('DATA INPUT'!$E$3:$E$3000,'DATA INPUT'!$B$3:$B$3000,'Report Tables'!AG$1,'DATA INPUT'!$A$3:$A$3000,"&gt;="&amp;DATE(2025,3,1),'DATA INPUT'!$A$3:$A$3000,"&lt;"&amp;DATE(2025,3,31),'DATA INPUT'!$F$3:$F$3000,"&lt;&gt;*Exclude*")=0,#N/A,(SUMIFS('DATA INPUT'!$E$3:$E$3000,'DATA INPUT'!$B$3:$B$3000,'Report Tables'!AG$1,'DATA INPUT'!$A$3:$A$3000,"&gt;="&amp;DATE(2025,3,1),'DATA INPUT'!$A$3:$A$3000,"&lt;"&amp;DATE(2025,3,31),'DATA INPUT'!$F$3:$F$3000,"&lt;&gt;*Exclude*"))))</f>
        <v>#N/A</v>
      </c>
      <c r="AH101" s="136" t="e">
        <f>IF($L$2="Yes",IF(SUMIFS('DATA INPUT'!$E$3:$E$3000,'DATA INPUT'!$B$3:$B$3000,'Report Tables'!AH$1,'DATA INPUT'!$A$3:$A$3000,"&gt;="&amp;DATE(2025,3,1),'DATA INPUT'!$A$3:$A$3000,"&lt;"&amp;DATE(2025,3,31))=0,#N/A,(SUMIFS('DATA INPUT'!$E$3:$E$3000,'DATA INPUT'!$B$3:$B$3000,'Report Tables'!AH$1,'DATA INPUT'!$A$3:$A$3000,"&gt;="&amp;DATE(2025,3,1),'DATA INPUT'!$A$3:$A$3000,"&lt;"&amp;DATE(2025,3,31)))),IF(SUMIFS('DATA INPUT'!$E$3:$E$3000,'DATA INPUT'!$B$3:$B$3000,'Report Tables'!AH$1,'DATA INPUT'!$A$3:$A$3000,"&gt;="&amp;DATE(2025,3,1),'DATA INPUT'!$A$3:$A$3000,"&lt;"&amp;DATE(2025,3,31),'DATA INPUT'!$F$3:$F$3000,"&lt;&gt;*Exclude*")=0,#N/A,(SUMIFS('DATA INPUT'!$E$3:$E$3000,'DATA INPUT'!$B$3:$B$3000,'Report Tables'!AH$1,'DATA INPUT'!$A$3:$A$3000,"&gt;="&amp;DATE(2025,3,1),'DATA INPUT'!$A$3:$A$3000,"&lt;"&amp;DATE(2025,3,31),'DATA INPUT'!$F$3:$F$3000,"&lt;&gt;*Exclude*"))))</f>
        <v>#N/A</v>
      </c>
      <c r="AI101" s="136" t="e">
        <f t="shared" si="23"/>
        <v>#N/A</v>
      </c>
      <c r="AJ101" s="136" t="e">
        <f>IF($L$2="Yes",IF(SUMIFS('DATA INPUT'!$D$3:$D$3000,'DATA INPUT'!$A$3:$A$3000,"&gt;="&amp;DATE(2025,3,1),'DATA INPUT'!$A$3:$A$3000,"&lt;"&amp;DATE(2025,3,31),'DATA INPUT'!$G$3:$G$3000,"&lt;&gt;*School service*")=0,#N/A,(SUMIFS('DATA INPUT'!$D$3:$D$3000,'DATA INPUT'!$A$3:$A$3000,"&gt;="&amp;DATE(2025,3,1),'DATA INPUT'!$A$3:$A$3000,"&lt;"&amp;DATE(2025,3,31),'DATA INPUT'!$G$3:$G$3000,"&lt;&gt;*School service*"))),IF(SUMIFS('DATA INPUT'!$D$3:$D$3000,'DATA INPUT'!$A$3:$A$3000,"&gt;="&amp;DATE(2025,3,1),'DATA INPUT'!$A$3:$A$3000,"&lt;"&amp;DATE(2025,3,31),'DATA INPUT'!$F$3:$F$3000,"&lt;&gt;*Exclude*",'DATA INPUT'!$G$3:$G$3000,"&lt;&gt;*School service*")=0,#N/A,(SUMIFS('DATA INPUT'!$D$3:$D$3000,'DATA INPUT'!$A$3:$A$3000,"&gt;="&amp;DATE(2025,3,1),'DATA INPUT'!$A$3:$A$3000,"&lt;"&amp;DATE(2025,3,31),'DATA INPUT'!$F$3:$F$3000,"&lt;&gt;*Exclude*",'DATA INPUT'!$G$3:$G$3000,"&lt;&gt;*School service*"))))</f>
        <v>#N/A</v>
      </c>
      <c r="AK101" s="136" t="e">
        <f>AI101-AJ101</f>
        <v>#N/A</v>
      </c>
      <c r="AM101" s="117" t="e">
        <f>IF($L$2="Yes",IFERROR((SUMIFS('DATA INPUT'!$E$3:$E$3000,'DATA INPUT'!$B$3:$B$3000,'Report Tables'!AM$1,'DATA INPUT'!$A$3:$A$3000,"&gt;="&amp;DATE(2025,3,1),'DATA INPUT'!$A$3:$A$3000,"&lt;"&amp;DATE(2025,3,31)))/COUNTIFS('DATA INPUT'!$B$3:$B$3000,'Report Tables'!AM$1,'DATA INPUT'!$A$3:$A$3000,"&gt;="&amp;DATE(2025,3,1),'DATA INPUT'!$A$3:$A$3000,"&lt;"&amp;DATE(2025,3,31)),#N/A),IFERROR((SUMIFS('DATA INPUT'!$E$3:$E$3000,'DATA INPUT'!$B$3:$B$3000,'Report Tables'!AM$1,'DATA INPUT'!$A$3:$A$3000,"&gt;="&amp;DATE(2025,3,1),'DATA INPUT'!$A$3:$A$3000,"&lt;"&amp;DATE(2025,3,31),'DATA INPUT'!$F$3:$F$3000,"&lt;&gt;*Exclude*"))/(COUNTIFS('DATA INPUT'!$B$3:$B$3000,'Report Tables'!AM$1,'DATA INPUT'!$A$3:$A$3000,"&gt;="&amp;DATE(2025,3,1),'DATA INPUT'!$A$3:$A$3000,"&lt;"&amp;DATE(2025,3,31),'DATA INPUT'!$F$3:$F$3000,"&lt;&gt;*Exclude*")),#N/A))</f>
        <v>#N/A</v>
      </c>
      <c r="AN101" s="117" t="e">
        <f>IF($L$2="Yes",IFERROR((SUMIFS('DATA INPUT'!$E$3:$E$3000,'DATA INPUT'!$B$3:$B$3000,'Report Tables'!AN$1,'DATA INPUT'!$A$3:$A$3000,"&gt;="&amp;DATE(2025,3,1),'DATA INPUT'!$A$3:$A$3000,"&lt;"&amp;DATE(2025,3,31)))/COUNTIFS('DATA INPUT'!$B$3:$B$3000,'Report Tables'!AN$1,'DATA INPUT'!$A$3:$A$3000,"&gt;="&amp;DATE(2025,3,1),'DATA INPUT'!$A$3:$A$3000,"&lt;"&amp;DATE(2025,3,31)),#N/A),IFERROR((SUMIFS('DATA INPUT'!$E$3:$E$3000,'DATA INPUT'!$B$3:$B$3000,'Report Tables'!AN$1,'DATA INPUT'!$A$3:$A$3000,"&gt;="&amp;DATE(2025,3,1),'DATA INPUT'!$A$3:$A$3000,"&lt;"&amp;DATE(2025,3,31),'DATA INPUT'!$F$3:$F$3000,"&lt;&gt;*Exclude*"))/(COUNTIFS('DATA INPUT'!$B$3:$B$3000,'Report Tables'!AN$1,'DATA INPUT'!$A$3:$A$3000,"&gt;="&amp;DATE(2025,3,1),'DATA INPUT'!$A$3:$A$3000,"&lt;"&amp;DATE(2025,3,31),'DATA INPUT'!$F$3:$F$3000,"&lt;&gt;*Exclude*")),#N/A))</f>
        <v>#N/A</v>
      </c>
      <c r="AO101" s="117" t="e">
        <f>IF($L$2="Yes",IFERROR((SUMIFS('DATA INPUT'!$E$3:$E$3000,'DATA INPUT'!$B$3:$B$3000,'Report Tables'!AO$1,'DATA INPUT'!$A$3:$A$3000,"&gt;="&amp;DATE(2025,3,1),'DATA INPUT'!$A$3:$A$3000,"&lt;"&amp;DATE(2025,3,31)))/COUNTIFS('DATA INPUT'!$B$3:$B$3000,'Report Tables'!AO$1,'DATA INPUT'!$A$3:$A$3000,"&gt;="&amp;DATE(2025,3,1),'DATA INPUT'!$A$3:$A$3000,"&lt;"&amp;DATE(2025,3,31)),#N/A),IFERROR((SUMIFS('DATA INPUT'!$E$3:$E$3000,'DATA INPUT'!$B$3:$B$3000,'Report Tables'!AO$1,'DATA INPUT'!$A$3:$A$3000,"&gt;="&amp;DATE(2025,3,1),'DATA INPUT'!$A$3:$A$3000,"&lt;"&amp;DATE(2025,3,31),'DATA INPUT'!$F$3:$F$3000,"&lt;&gt;*Exclude*"))/(COUNTIFS('DATA INPUT'!$B$3:$B$3000,'Report Tables'!AO$1,'DATA INPUT'!$A$3:$A$3000,"&gt;="&amp;DATE(2025,3,1),'DATA INPUT'!$A$3:$A$3000,"&lt;"&amp;DATE(2025,3,31),'DATA INPUT'!$F$3:$F$3000,"&lt;&gt;*Exclude*")),#N/A))</f>
        <v>#N/A</v>
      </c>
      <c r="AP101" s="117" t="e">
        <f>IF($L$2="Yes",IFERROR((SUMIFS('DATA INPUT'!$E$3:$E$3000,'DATA INPUT'!$B$3:$B$3000,'Report Tables'!AP$1,'DATA INPUT'!$A$3:$A$3000,"&gt;="&amp;DATE(2025,3,1),'DATA INPUT'!$A$3:$A$3000,"&lt;"&amp;DATE(2025,3,31)))/COUNTIFS('DATA INPUT'!$B$3:$B$3000,'Report Tables'!AP$1,'DATA INPUT'!$A$3:$A$3000,"&gt;="&amp;DATE(2025,3,1),'DATA INPUT'!$A$3:$A$3000,"&lt;"&amp;DATE(2025,3,31)),#N/A),IFERROR((SUMIFS('DATA INPUT'!$E$3:$E$3000,'DATA INPUT'!$B$3:$B$3000,'Report Tables'!AP$1,'DATA INPUT'!$A$3:$A$3000,"&gt;="&amp;DATE(2025,3,1),'DATA INPUT'!$A$3:$A$3000,"&lt;"&amp;DATE(2025,3,31),'DATA INPUT'!$F$3:$F$3000,"&lt;&gt;*Exclude*"))/(COUNTIFS('DATA INPUT'!$B$3:$B$3000,'Report Tables'!AP$1,'DATA INPUT'!$A$3:$A$3000,"&gt;="&amp;DATE(2025,3,1),'DATA INPUT'!$A$3:$A$3000,"&lt;"&amp;DATE(2025,3,31),'DATA INPUT'!$F$3:$F$3000,"&lt;&gt;*Exclude*")),#N/A))</f>
        <v>#N/A</v>
      </c>
      <c r="AQ101" s="117" t="e">
        <f>IF($L$2="Yes",IFERROR((SUMIFS('DATA INPUT'!$E$3:$E$3000,'DATA INPUT'!$B$3:$B$3000,'Report Tables'!AQ$1,'DATA INPUT'!$A$3:$A$3000,"&gt;="&amp;DATE(2025,3,1),'DATA INPUT'!$A$3:$A$3000,"&lt;"&amp;DATE(2025,3,31)))/COUNTIFS('DATA INPUT'!$B$3:$B$3000,'Report Tables'!AQ$1,'DATA INPUT'!$A$3:$A$3000,"&gt;="&amp;DATE(2025,3,1),'DATA INPUT'!$A$3:$A$3000,"&lt;"&amp;DATE(2025,3,31)),#N/A),IFERROR((SUMIFS('DATA INPUT'!$E$3:$E$3000,'DATA INPUT'!$B$3:$B$3000,'Report Tables'!AQ$1,'DATA INPUT'!$A$3:$A$3000,"&gt;="&amp;DATE(2025,3,1),'DATA INPUT'!$A$3:$A$3000,"&lt;"&amp;DATE(2025,3,31),'DATA INPUT'!$F$3:$F$3000,"&lt;&gt;*Exclude*"))/(COUNTIFS('DATA INPUT'!$B$3:$B$3000,'Report Tables'!AQ$1,'DATA INPUT'!$A$3:$A$3000,"&gt;="&amp;DATE(2025,3,1),'DATA INPUT'!$A$3:$A$3000,"&lt;"&amp;DATE(2025,3,31),'DATA INPUT'!$F$3:$F$3000,"&lt;&gt;*Exclude*")),#N/A))</f>
        <v>#N/A</v>
      </c>
      <c r="AR101" s="117" t="e">
        <f>IF($L$2="Yes",IFERROR((SUMIFS('DATA INPUT'!$E$3:$E$3000,'DATA INPUT'!$B$3:$B$3000,'Report Tables'!AR$1,'DATA INPUT'!$A$3:$A$3000,"&gt;="&amp;DATE(2025,3,1),'DATA INPUT'!$A$3:$A$3000,"&lt;"&amp;DATE(2025,3,31)))/COUNTIFS('DATA INPUT'!$B$3:$B$3000,'Report Tables'!AR$1,'DATA INPUT'!$A$3:$A$3000,"&gt;="&amp;DATE(2025,3,1),'DATA INPUT'!$A$3:$A$3000,"&lt;"&amp;DATE(2025,3,31)),#N/A),IFERROR((SUMIFS('DATA INPUT'!$E$3:$E$3000,'DATA INPUT'!$B$3:$B$3000,'Report Tables'!AR$1,'DATA INPUT'!$A$3:$A$3000,"&gt;="&amp;DATE(2025,3,1),'DATA INPUT'!$A$3:$A$3000,"&lt;"&amp;DATE(2025,3,31),'DATA INPUT'!$F$3:$F$3000,"&lt;&gt;*Exclude*"))/(COUNTIFS('DATA INPUT'!$B$3:$B$3000,'Report Tables'!AR$1,'DATA INPUT'!$A$3:$A$3000,"&gt;="&amp;DATE(2025,3,1),'DATA INPUT'!$A$3:$A$3000,"&lt;"&amp;DATE(2025,3,31),'DATA INPUT'!$F$3:$F$3000,"&lt;&gt;*Exclude*")),#N/A))</f>
        <v>#N/A</v>
      </c>
      <c r="AS101" s="117" t="e">
        <f>IF($L$2="Yes",IFERROR((SUMIFS('DATA INPUT'!$E$3:$E$3000,'DATA INPUT'!$B$3:$B$3000,'Report Tables'!AS$1,'DATA INPUT'!$A$3:$A$3000,"&gt;="&amp;DATE(2025,3,1),'DATA INPUT'!$A$3:$A$3000,"&lt;"&amp;DATE(2025,3,31)))/COUNTIFS('DATA INPUT'!$B$3:$B$3000,'Report Tables'!AS$1,'DATA INPUT'!$A$3:$A$3000,"&gt;="&amp;DATE(2025,3,1),'DATA INPUT'!$A$3:$A$3000,"&lt;"&amp;DATE(2025,3,31)),#N/A),IFERROR((SUMIFS('DATA INPUT'!$E$3:$E$3000,'DATA INPUT'!$B$3:$B$3000,'Report Tables'!AS$1,'DATA INPUT'!$A$3:$A$3000,"&gt;="&amp;DATE(2025,3,1),'DATA INPUT'!$A$3:$A$3000,"&lt;"&amp;DATE(2025,3,31),'DATA INPUT'!$F$3:$F$3000,"&lt;&gt;*Exclude*"))/(COUNTIFS('DATA INPUT'!$B$3:$B$3000,'Report Tables'!AS$1,'DATA INPUT'!$A$3:$A$3000,"&gt;="&amp;DATE(2025,3,1),'DATA INPUT'!$A$3:$A$3000,"&lt;"&amp;DATE(2025,3,31),'DATA INPUT'!$F$3:$F$3000,"&lt;&gt;*Exclude*")),#N/A))</f>
        <v>#N/A</v>
      </c>
      <c r="AT101" s="117" t="e">
        <f>IF($L$2="Yes",IFERROR((SUMIFS('DATA INPUT'!$E$3:$E$3000,'DATA INPUT'!$B$3:$B$3000,'Report Tables'!AT$1,'DATA INPUT'!$A$3:$A$3000,"&gt;="&amp;DATE(2025,3,1),'DATA INPUT'!$A$3:$A$3000,"&lt;"&amp;DATE(2025,3,31)))/COUNTIFS('DATA INPUT'!$B$3:$B$3000,'Report Tables'!AT$1,'DATA INPUT'!$A$3:$A$3000,"&gt;="&amp;DATE(2025,3,1),'DATA INPUT'!$A$3:$A$3000,"&lt;"&amp;DATE(2025,3,31)),#N/A),IFERROR((SUMIFS('DATA INPUT'!$E$3:$E$3000,'DATA INPUT'!$B$3:$B$3000,'Report Tables'!AT$1,'DATA INPUT'!$A$3:$A$3000,"&gt;="&amp;DATE(2025,3,1),'DATA INPUT'!$A$3:$A$3000,"&lt;"&amp;DATE(2025,3,31),'DATA INPUT'!$F$3:$F$3000,"&lt;&gt;*Exclude*"))/(COUNTIFS('DATA INPUT'!$B$3:$B$3000,'Report Tables'!AT$1,'DATA INPUT'!$A$3:$A$3000,"&gt;="&amp;DATE(2025,3,1),'DATA INPUT'!$A$3:$A$3000,"&lt;"&amp;DATE(2025,3,31),'DATA INPUT'!$F$3:$F$3000,"&lt;&gt;*Exclude*")),#N/A))</f>
        <v>#N/A</v>
      </c>
      <c r="AU101" s="117" t="e">
        <f t="shared" si="24"/>
        <v>#N/A</v>
      </c>
      <c r="AV101" s="117" t="e">
        <f>IF($L$2="Yes",IFERROR((SUMIFS('DATA INPUT'!$D$3:$D$3000,'DATA INPUT'!$A$3:$A$3000,"&gt;="&amp;DATE(2025,3,1),'DATA INPUT'!$A$3:$A$3000,"&lt;"&amp;DATE(2025,3,31),'DATA INPUT'!$G$3:$G$3000,"&lt;&gt;*School service*"))/COUNTIFS('DATA INPUT'!$A$3:$A$3000,"&gt;="&amp;DATE(2025,3,1),'DATA INPUT'!$A$3:$A$3000,"&lt;"&amp;DATE(2025,3,31),'DATA INPUT'!$G$3:$G$3000,"&lt;&gt;*School service*",'DATA INPUT'!$D$3:$D$3000,"&lt;&gt;"&amp;""),#N/A),IFERROR((SUMIFS('DATA INPUT'!$D$3:$D$3000,'DATA INPUT'!$A$3:$A$3000,"&gt;="&amp;DATE(2025,3,1),'DATA INPUT'!$A$3:$A$3000,"&lt;"&amp;DATE(2025,3,31),'DATA INPUT'!$F$3:$F$3000,"&lt;&gt;*Exclude*",'DATA INPUT'!$G$3:$G$3000,"&lt;&gt;*School service*"))/(COUNTIFS('DATA INPUT'!$A$3:$A$3000,"&gt;="&amp;DATE(2025,3,1),'DATA INPUT'!$A$3:$A$3000,"&lt;"&amp;DATE(2025,3,31),'DATA INPUT'!$F$3:$F$3000,"&lt;&gt;*Exclude*",'DATA INPUT'!$G$3:$G$3000,"&lt;&gt;*School service*",'DATA INPUT'!$D$3:$D$3000,"&lt;&gt;"&amp;"")),#N/A))</f>
        <v>#N/A</v>
      </c>
      <c r="AW101" s="117" t="e">
        <f t="shared" si="25"/>
        <v>#N/A</v>
      </c>
      <c r="AX101" s="117" t="e">
        <f>IF($L$2="Yes",IFERROR((SUMIFS('DATA INPUT'!$E$3:$E$3000,'DATA INPUT'!$B$3:$B$3000,'Report Tables'!AX$1,'DATA INPUT'!$A$3:$A$3000,"&gt;="&amp;DATE(2025,3,1),'DATA INPUT'!$A$3:$A$3000,"&lt;"&amp;DATE(2025,3,31)))/COUNTIFS('DATA INPUT'!$B$3:$B$3000,'Report Tables'!AX$1,'DATA INPUT'!$A$3:$A$3000,"&gt;="&amp;DATE(2025,3,1),'DATA INPUT'!$A$3:$A$3000,"&lt;"&amp;DATE(2025,3,31)),#N/A),IFERROR((SUMIFS('DATA INPUT'!$E$3:$E$3000,'DATA INPUT'!$B$3:$B$3000,'Report Tables'!AX$1,'DATA INPUT'!$A$3:$A$3000,"&gt;="&amp;DATE(2025,3,1),'DATA INPUT'!$A$3:$A$3000,"&lt;"&amp;DATE(2025,3,31),'DATA INPUT'!$F$3:$F$3000,"&lt;&gt;*Exclude*"))/(COUNTIFS('DATA INPUT'!$B$3:$B$3000,'Report Tables'!AX$1,'DATA INPUT'!$A$3:$A$3000,"&gt;="&amp;DATE(2025,3,1),'DATA INPUT'!$A$3:$A$3000,"&lt;"&amp;DATE(2025,3,31),'DATA INPUT'!$F$3:$F$3000,"&lt;&gt;*Exclude*")),#N/A))</f>
        <v>#N/A</v>
      </c>
      <c r="AY101" s="117" t="e">
        <f>IF($L$2="Yes",IFERROR((SUMIFS('DATA INPUT'!$D$3:$D$3000,'DATA INPUT'!$B$3:$B$3000,'Report Tables'!AX$1,'DATA INPUT'!$A$3:$A$3000,"&gt;="&amp;DATE(2025,3,1),'DATA INPUT'!$A$3:$A$3000,"&lt;"&amp;DATE(2025,3,31)))/COUNTIFS('DATA INPUT'!$B$3:$B$3000,'Report Tables'!AX$1,'DATA INPUT'!$A$3:$A$3000,"&gt;="&amp;DATE(2025,3,1),'DATA INPUT'!$A$3:$A$3000,"&lt;"&amp;DATE(2025,3,31)),#N/A),IFERROR((SUMIFS('DATA INPUT'!$D$3:$D$3000,'DATA INPUT'!$B$3:$B$3000,'Report Tables'!AX$1,'DATA INPUT'!$A$3:$A$3000,"&gt;="&amp;DATE(2025,3,1),'DATA INPUT'!$A$3:$A$3000,"&lt;"&amp;DATE(2025,3,31),'DATA INPUT'!$F$3:$F$3000,"&lt;&gt;*Exclude*"))/(COUNTIFS('DATA INPUT'!$B$3:$B$3000,'Report Tables'!AX$1,'DATA INPUT'!$A$3:$A$3000,"&gt;="&amp;DATE(2025,3,1),'DATA INPUT'!$A$3:$A$3000,"&lt;"&amp;DATE(2025,3,31),'DATA INPUT'!$F$3:$F$3000,"&lt;&gt;*Exclude*")),#N/A))</f>
        <v>#N/A</v>
      </c>
      <c r="AZ101" s="117" t="e">
        <f>IF($L$2="Yes",IFERROR((SUMIFS('DATA INPUT'!$C$3:$C$3000,'DATA INPUT'!$B$3:$B$3000,'Report Tables'!AX$1,'DATA INPUT'!$A$3:$A$3000,"&gt;="&amp;DATE(2025,3,1),'DATA INPUT'!$A$3:$A$3000,"&lt;"&amp;DATE(2025,3,31)))/COUNTIFS('DATA INPUT'!$B$3:$B$3000,'Report Tables'!AX$1,'DATA INPUT'!$A$3:$A$3000,"&gt;="&amp;DATE(2025,3,1),'DATA INPUT'!$A$3:$A$3000,"&lt;"&amp;DATE(2025,3,31)),#N/A),IFERROR((SUMIFS('DATA INPUT'!$C$3:$C$3000,'DATA INPUT'!$B$3:$B$3000,'Report Tables'!AX$1,'DATA INPUT'!$A$3:$A$3000,"&gt;="&amp;DATE(2025,3,1),'DATA INPUT'!$A$3:$A$3000,"&lt;"&amp;DATE(2025,3,31),'DATA INPUT'!$F$3:$F$3000,"&lt;&gt;*Exclude*"))/(COUNTIFS('DATA INPUT'!$B$3:$B$3000,'Report Tables'!AX$1,'DATA INPUT'!$A$3:$A$3000,"&gt;="&amp;DATE(2025,3,1),'DATA INPUT'!$A$3:$A$3000,"&lt;"&amp;DATE(2025,3,31),'DATA INPUT'!$F$3:$F$3000,"&lt;&gt;*Exclude*")),#N/A))</f>
        <v>#N/A</v>
      </c>
    </row>
    <row r="102" spans="25:52" x14ac:dyDescent="0.3">
      <c r="Y102" s="149"/>
      <c r="Z102" s="149" t="s">
        <v>15</v>
      </c>
      <c r="AA102" s="136" t="e">
        <f>IF($L$2="Yes",IF(SUMIFS('DATA INPUT'!$E$3:$E$3000,'DATA INPUT'!$B$3:$B$3000,'Report Tables'!AA$1,'DATA INPUT'!$A$3:$A$3000,"&gt;="&amp;DATE(2025,4,1),'DATA INPUT'!$A$3:$A$3000,"&lt;"&amp;DATE(2025,4,31))=0,#N/A,(SUMIFS('DATA INPUT'!$E$3:$E$3000,'DATA INPUT'!$B$3:$B$3000,'Report Tables'!AA$1,'DATA INPUT'!$A$3:$A$3000,"&gt;="&amp;DATE(2025,4,1),'DATA INPUT'!$A$3:$A$3000,"&lt;"&amp;DATE(2025,4,31)))),IF(SUMIFS('DATA INPUT'!$E$3:$E$3000,'DATA INPUT'!$B$3:$B$3000,'Report Tables'!AA$1,'DATA INPUT'!$A$3:$A$3000,"&gt;="&amp;DATE(2025,4,1),'DATA INPUT'!$A$3:$A$3000,"&lt;"&amp;DATE(2025,4,31),'DATA INPUT'!$F$3:$F$3000,"&lt;&gt;*Exclude*")=0,#N/A,(SUMIFS('DATA INPUT'!$E$3:$E$3000,'DATA INPUT'!$B$3:$B$3000,'Report Tables'!AA$1,'DATA INPUT'!$A$3:$A$3000,"&gt;="&amp;DATE(2025,4,1),'DATA INPUT'!$A$3:$A$3000,"&lt;"&amp;DATE(2025,4,31),'DATA INPUT'!$F$3:$F$3000,"&lt;&gt;*Exclude*"))))</f>
        <v>#N/A</v>
      </c>
      <c r="AB102" s="136" t="e">
        <f>IF($L$2="Yes",IF(SUMIFS('DATA INPUT'!$E$3:$E$3000,'DATA INPUT'!$B$3:$B$3000,'Report Tables'!AB$1,'DATA INPUT'!$A$3:$A$3000,"&gt;="&amp;DATE(2025,4,1),'DATA INPUT'!$A$3:$A$3000,"&lt;"&amp;DATE(2025,4,31))=0,#N/A,(SUMIFS('DATA INPUT'!$E$3:$E$3000,'DATA INPUT'!$B$3:$B$3000,'Report Tables'!AB$1,'DATA INPUT'!$A$3:$A$3000,"&gt;="&amp;DATE(2025,4,1),'DATA INPUT'!$A$3:$A$3000,"&lt;"&amp;DATE(2025,4,31)))),IF(SUMIFS('DATA INPUT'!$E$3:$E$3000,'DATA INPUT'!$B$3:$B$3000,'Report Tables'!AB$1,'DATA INPUT'!$A$3:$A$3000,"&gt;="&amp;DATE(2025,4,1),'DATA INPUT'!$A$3:$A$3000,"&lt;"&amp;DATE(2025,4,31),'DATA INPUT'!$F$3:$F$3000,"&lt;&gt;*Exclude*")=0,#N/A,(SUMIFS('DATA INPUT'!$E$3:$E$3000,'DATA INPUT'!$B$3:$B$3000,'Report Tables'!AB$1,'DATA INPUT'!$A$3:$A$3000,"&gt;="&amp;DATE(2025,4,1),'DATA INPUT'!$A$3:$A$3000,"&lt;"&amp;DATE(2025,4,31),'DATA INPUT'!$F$3:$F$3000,"&lt;&gt;*Exclude*"))))</f>
        <v>#N/A</v>
      </c>
      <c r="AC102" s="136" t="e">
        <f>IF($L$2="Yes",IF(SUMIFS('DATA INPUT'!$E$3:$E$3000,'DATA INPUT'!$B$3:$B$3000,'Report Tables'!AC$1,'DATA INPUT'!$A$3:$A$3000,"&gt;="&amp;DATE(2025,4,1),'DATA INPUT'!$A$3:$A$3000,"&lt;"&amp;DATE(2025,4,31))=0,#N/A,(SUMIFS('DATA INPUT'!$E$3:$E$3000,'DATA INPUT'!$B$3:$B$3000,'Report Tables'!AC$1,'DATA INPUT'!$A$3:$A$3000,"&gt;="&amp;DATE(2025,4,1),'DATA INPUT'!$A$3:$A$3000,"&lt;"&amp;DATE(2025,4,31)))),IF(SUMIFS('DATA INPUT'!$E$3:$E$3000,'DATA INPUT'!$B$3:$B$3000,'Report Tables'!AC$1,'DATA INPUT'!$A$3:$A$3000,"&gt;="&amp;DATE(2025,4,1),'DATA INPUT'!$A$3:$A$3000,"&lt;"&amp;DATE(2025,4,31),'DATA INPUT'!$F$3:$F$3000,"&lt;&gt;*Exclude*")=0,#N/A,(SUMIFS('DATA INPUT'!$E$3:$E$3000,'DATA INPUT'!$B$3:$B$3000,'Report Tables'!AC$1,'DATA INPUT'!$A$3:$A$3000,"&gt;="&amp;DATE(2025,4,1),'DATA INPUT'!$A$3:$A$3000,"&lt;"&amp;DATE(2025,4,31),'DATA INPUT'!$F$3:$F$3000,"&lt;&gt;*Exclude*"))))</f>
        <v>#N/A</v>
      </c>
      <c r="AD102" s="136" t="e">
        <f>IF($L$2="Yes",IF(SUMIFS('DATA INPUT'!$E$3:$E$3000,'DATA INPUT'!$B$3:$B$3000,'Report Tables'!AD$1,'DATA INPUT'!$A$3:$A$3000,"&gt;="&amp;DATE(2025,4,1),'DATA INPUT'!$A$3:$A$3000,"&lt;"&amp;DATE(2025,4,31))=0,#N/A,(SUMIFS('DATA INPUT'!$E$3:$E$3000,'DATA INPUT'!$B$3:$B$3000,'Report Tables'!AD$1,'DATA INPUT'!$A$3:$A$3000,"&gt;="&amp;DATE(2025,4,1),'DATA INPUT'!$A$3:$A$3000,"&lt;"&amp;DATE(2025,4,31)))),IF(SUMIFS('DATA INPUT'!$E$3:$E$3000,'DATA INPUT'!$B$3:$B$3000,'Report Tables'!AD$1,'DATA INPUT'!$A$3:$A$3000,"&gt;="&amp;DATE(2025,4,1),'DATA INPUT'!$A$3:$A$3000,"&lt;"&amp;DATE(2025,4,31),'DATA INPUT'!$F$3:$F$3000,"&lt;&gt;*Exclude*")=0,#N/A,(SUMIFS('DATA INPUT'!$E$3:$E$3000,'DATA INPUT'!$B$3:$B$3000,'Report Tables'!AD$1,'DATA INPUT'!$A$3:$A$3000,"&gt;="&amp;DATE(2025,4,1),'DATA INPUT'!$A$3:$A$3000,"&lt;"&amp;DATE(2025,4,31),'DATA INPUT'!$F$3:$F$3000,"&lt;&gt;*Exclude*"))))</f>
        <v>#N/A</v>
      </c>
      <c r="AE102" s="136" t="e">
        <f>IF($L$2="Yes",IF(SUMIFS('DATA INPUT'!$E$3:$E$3000,'DATA INPUT'!$B$3:$B$3000,'Report Tables'!AE$1,'DATA INPUT'!$A$3:$A$3000,"&gt;="&amp;DATE(2025,4,1),'DATA INPUT'!$A$3:$A$3000,"&lt;"&amp;DATE(2025,4,31))=0,#N/A,(SUMIFS('DATA INPUT'!$E$3:$E$3000,'DATA INPUT'!$B$3:$B$3000,'Report Tables'!AE$1,'DATA INPUT'!$A$3:$A$3000,"&gt;="&amp;DATE(2025,4,1),'DATA INPUT'!$A$3:$A$3000,"&lt;"&amp;DATE(2025,4,31)))),IF(SUMIFS('DATA INPUT'!$E$3:$E$3000,'DATA INPUT'!$B$3:$B$3000,'Report Tables'!AE$1,'DATA INPUT'!$A$3:$A$3000,"&gt;="&amp;DATE(2025,4,1),'DATA INPUT'!$A$3:$A$3000,"&lt;"&amp;DATE(2025,4,31),'DATA INPUT'!$F$3:$F$3000,"&lt;&gt;*Exclude*")=0,#N/A,(SUMIFS('DATA INPUT'!$E$3:$E$3000,'DATA INPUT'!$B$3:$B$3000,'Report Tables'!AE$1,'DATA INPUT'!$A$3:$A$3000,"&gt;="&amp;DATE(2025,4,1),'DATA INPUT'!$A$3:$A$3000,"&lt;"&amp;DATE(2025,4,31),'DATA INPUT'!$F$3:$F$3000,"&lt;&gt;*Exclude*"))))</f>
        <v>#N/A</v>
      </c>
      <c r="AF102" s="136" t="e">
        <f>IF($L$2="Yes",IF(SUMIFS('DATA INPUT'!$E$3:$E$3000,'DATA INPUT'!$B$3:$B$3000,'Report Tables'!AF$1,'DATA INPUT'!$A$3:$A$3000,"&gt;="&amp;DATE(2025,4,1),'DATA INPUT'!$A$3:$A$3000,"&lt;"&amp;DATE(2025,4,31))=0,#N/A,(SUMIFS('DATA INPUT'!$E$3:$E$3000,'DATA INPUT'!$B$3:$B$3000,'Report Tables'!AF$1,'DATA INPUT'!$A$3:$A$3000,"&gt;="&amp;DATE(2025,4,1),'DATA INPUT'!$A$3:$A$3000,"&lt;"&amp;DATE(2025,4,31)))),IF(SUMIFS('DATA INPUT'!$E$3:$E$3000,'DATA INPUT'!$B$3:$B$3000,'Report Tables'!AF$1,'DATA INPUT'!$A$3:$A$3000,"&gt;="&amp;DATE(2025,4,1),'DATA INPUT'!$A$3:$A$3000,"&lt;"&amp;DATE(2025,4,31),'DATA INPUT'!$F$3:$F$3000,"&lt;&gt;*Exclude*")=0,#N/A,(SUMIFS('DATA INPUT'!$E$3:$E$3000,'DATA INPUT'!$B$3:$B$3000,'Report Tables'!AF$1,'DATA INPUT'!$A$3:$A$3000,"&gt;="&amp;DATE(2025,4,1),'DATA INPUT'!$A$3:$A$3000,"&lt;"&amp;DATE(2025,4,31),'DATA INPUT'!$F$3:$F$3000,"&lt;&gt;*Exclude*"))))</f>
        <v>#N/A</v>
      </c>
      <c r="AG102" s="136" t="e">
        <f>IF($L$2="Yes",IF(SUMIFS('DATA INPUT'!$E$3:$E$3000,'DATA INPUT'!$B$3:$B$3000,'Report Tables'!AG$1,'DATA INPUT'!$A$3:$A$3000,"&gt;="&amp;DATE(2025,4,1),'DATA INPUT'!$A$3:$A$3000,"&lt;"&amp;DATE(2025,4,31))=0,#N/A,(SUMIFS('DATA INPUT'!$E$3:$E$3000,'DATA INPUT'!$B$3:$B$3000,'Report Tables'!AG$1,'DATA INPUT'!$A$3:$A$3000,"&gt;="&amp;DATE(2025,4,1),'DATA INPUT'!$A$3:$A$3000,"&lt;"&amp;DATE(2025,4,31)))),IF(SUMIFS('DATA INPUT'!$E$3:$E$3000,'DATA INPUT'!$B$3:$B$3000,'Report Tables'!AG$1,'DATA INPUT'!$A$3:$A$3000,"&gt;="&amp;DATE(2025,4,1),'DATA INPUT'!$A$3:$A$3000,"&lt;"&amp;DATE(2025,4,31),'DATA INPUT'!$F$3:$F$3000,"&lt;&gt;*Exclude*")=0,#N/A,(SUMIFS('DATA INPUT'!$E$3:$E$3000,'DATA INPUT'!$B$3:$B$3000,'Report Tables'!AG$1,'DATA INPUT'!$A$3:$A$3000,"&gt;="&amp;DATE(2025,4,1),'DATA INPUT'!$A$3:$A$3000,"&lt;"&amp;DATE(2025,4,31),'DATA INPUT'!$F$3:$F$3000,"&lt;&gt;*Exclude*"))))</f>
        <v>#N/A</v>
      </c>
      <c r="AH102" s="136" t="e">
        <f>IF($L$2="Yes",IF(SUMIFS('DATA INPUT'!$E$3:$E$3000,'DATA INPUT'!$B$3:$B$3000,'Report Tables'!AH$1,'DATA INPUT'!$A$3:$A$3000,"&gt;="&amp;DATE(2025,4,1),'DATA INPUT'!$A$3:$A$3000,"&lt;"&amp;DATE(2025,4,31))=0,#N/A,(SUMIFS('DATA INPUT'!$E$3:$E$3000,'DATA INPUT'!$B$3:$B$3000,'Report Tables'!AH$1,'DATA INPUT'!$A$3:$A$3000,"&gt;="&amp;DATE(2025,4,1),'DATA INPUT'!$A$3:$A$3000,"&lt;"&amp;DATE(2025,4,31)))),IF(SUMIFS('DATA INPUT'!$E$3:$E$3000,'DATA INPUT'!$B$3:$B$3000,'Report Tables'!AH$1,'DATA INPUT'!$A$3:$A$3000,"&gt;="&amp;DATE(2025,4,1),'DATA INPUT'!$A$3:$A$3000,"&lt;"&amp;DATE(2025,4,31),'DATA INPUT'!$F$3:$F$3000,"&lt;&gt;*Exclude*")=0,#N/A,(SUMIFS('DATA INPUT'!$E$3:$E$3000,'DATA INPUT'!$B$3:$B$3000,'Report Tables'!AH$1,'DATA INPUT'!$A$3:$A$3000,"&gt;="&amp;DATE(2025,4,1),'DATA INPUT'!$A$3:$A$3000,"&lt;"&amp;DATE(2025,4,31),'DATA INPUT'!$F$3:$F$3000,"&lt;&gt;*Exclude*"))))</f>
        <v>#N/A</v>
      </c>
      <c r="AI102" s="136" t="e">
        <f t="shared" si="23"/>
        <v>#N/A</v>
      </c>
      <c r="AJ102" s="136" t="e">
        <f>IF($L$2="Yes",IF(SUMIFS('DATA INPUT'!$D$3:$D$3000,'DATA INPUT'!$A$3:$A$3000,"&gt;="&amp;DATE(2025,4,1),'DATA INPUT'!$A$3:$A$3000,"&lt;"&amp;DATE(2025,4,31),'DATA INPUT'!$G$3:$G$3000,"&lt;&gt;*School service*")=0,#N/A,(SUMIFS('DATA INPUT'!$D$3:$D$3000,'DATA INPUT'!$A$3:$A$3000,"&gt;="&amp;DATE(2025,4,1),'DATA INPUT'!$A$3:$A$3000,"&lt;"&amp;DATE(2025,4,31),'DATA INPUT'!$G$3:$G$3000,"&lt;&gt;*School service*"))),IF(SUMIFS('DATA INPUT'!$D$3:$D$3000,'DATA INPUT'!$A$3:$A$3000,"&gt;="&amp;DATE(2025,4,1),'DATA INPUT'!$A$3:$A$3000,"&lt;"&amp;DATE(2025,4,31),'DATA INPUT'!$F$3:$F$3000,"&lt;&gt;*Exclude*",'DATA INPUT'!$G$3:$G$3000,"&lt;&gt;*School service*")=0,#N/A,(SUMIFS('DATA INPUT'!$D$3:$D$3000,'DATA INPUT'!$A$3:$A$3000,"&gt;="&amp;DATE(2025,4,1),'DATA INPUT'!$A$3:$A$3000,"&lt;"&amp;DATE(2025,4,31),'DATA INPUT'!$F$3:$F$3000,"&lt;&gt;*Exclude*",'DATA INPUT'!$G$3:$G$3000,"&lt;&gt;*School service*"))))</f>
        <v>#N/A</v>
      </c>
      <c r="AK102" s="136" t="e">
        <f>AI102-AJ102</f>
        <v>#N/A</v>
      </c>
      <c r="AM102" s="117" t="e">
        <f>IF($L$2="Yes",IFERROR((SUMIFS('DATA INPUT'!$E$3:$E$3000,'DATA INPUT'!$B$3:$B$3000,'Report Tables'!AM$1,'DATA INPUT'!$A$3:$A$3000,"&gt;="&amp;DATE(2025,4,1),'DATA INPUT'!$A$3:$A$3000,"&lt;"&amp;DATE(2025,4,31)))/COUNTIFS('DATA INPUT'!$B$3:$B$3000,'Report Tables'!AM$1,'DATA INPUT'!$A$3:$A$3000,"&gt;="&amp;DATE(2025,4,1),'DATA INPUT'!$A$3:$A$3000,"&lt;"&amp;DATE(2025,4,31)),#N/A),IFERROR((SUMIFS('DATA INPUT'!$E$3:$E$3000,'DATA INPUT'!$B$3:$B$3000,'Report Tables'!AM$1,'DATA INPUT'!$A$3:$A$3000,"&gt;="&amp;DATE(2025,4,1),'DATA INPUT'!$A$3:$A$3000,"&lt;"&amp;DATE(2025,4,31),'DATA INPUT'!$F$3:$F$3000,"&lt;&gt;*Exclude*"))/(COUNTIFS('DATA INPUT'!$B$3:$B$3000,'Report Tables'!AM$1,'DATA INPUT'!$A$3:$A$3000,"&gt;="&amp;DATE(2025,4,1),'DATA INPUT'!$A$3:$A$3000,"&lt;"&amp;DATE(2025,4,31),'DATA INPUT'!$F$3:$F$3000,"&lt;&gt;*Exclude*")),#N/A))</f>
        <v>#N/A</v>
      </c>
      <c r="AN102" s="117" t="e">
        <f>IF($L$2="Yes",IFERROR((SUMIFS('DATA INPUT'!$E$3:$E$3000,'DATA INPUT'!$B$3:$B$3000,'Report Tables'!AN$1,'DATA INPUT'!$A$3:$A$3000,"&gt;="&amp;DATE(2025,4,1),'DATA INPUT'!$A$3:$A$3000,"&lt;"&amp;DATE(2025,4,31)))/COUNTIFS('DATA INPUT'!$B$3:$B$3000,'Report Tables'!AN$1,'DATA INPUT'!$A$3:$A$3000,"&gt;="&amp;DATE(2025,4,1),'DATA INPUT'!$A$3:$A$3000,"&lt;"&amp;DATE(2025,4,31)),#N/A),IFERROR((SUMIFS('DATA INPUT'!$E$3:$E$3000,'DATA INPUT'!$B$3:$B$3000,'Report Tables'!AN$1,'DATA INPUT'!$A$3:$A$3000,"&gt;="&amp;DATE(2025,4,1),'DATA INPUT'!$A$3:$A$3000,"&lt;"&amp;DATE(2025,4,31),'DATA INPUT'!$F$3:$F$3000,"&lt;&gt;*Exclude*"))/(COUNTIFS('DATA INPUT'!$B$3:$B$3000,'Report Tables'!AN$1,'DATA INPUT'!$A$3:$A$3000,"&gt;="&amp;DATE(2025,4,1),'DATA INPUT'!$A$3:$A$3000,"&lt;"&amp;DATE(2025,4,31),'DATA INPUT'!$F$3:$F$3000,"&lt;&gt;*Exclude*")),#N/A))</f>
        <v>#N/A</v>
      </c>
      <c r="AO102" s="117" t="e">
        <f>IF($L$2="Yes",IFERROR((SUMIFS('DATA INPUT'!$E$3:$E$3000,'DATA INPUT'!$B$3:$B$3000,'Report Tables'!AO$1,'DATA INPUT'!$A$3:$A$3000,"&gt;="&amp;DATE(2025,4,1),'DATA INPUT'!$A$3:$A$3000,"&lt;"&amp;DATE(2025,4,31)))/COUNTIFS('DATA INPUT'!$B$3:$B$3000,'Report Tables'!AO$1,'DATA INPUT'!$A$3:$A$3000,"&gt;="&amp;DATE(2025,4,1),'DATA INPUT'!$A$3:$A$3000,"&lt;"&amp;DATE(2025,4,31)),#N/A),IFERROR((SUMIFS('DATA INPUT'!$E$3:$E$3000,'DATA INPUT'!$B$3:$B$3000,'Report Tables'!AO$1,'DATA INPUT'!$A$3:$A$3000,"&gt;="&amp;DATE(2025,4,1),'DATA INPUT'!$A$3:$A$3000,"&lt;"&amp;DATE(2025,4,31),'DATA INPUT'!$F$3:$F$3000,"&lt;&gt;*Exclude*"))/(COUNTIFS('DATA INPUT'!$B$3:$B$3000,'Report Tables'!AO$1,'DATA INPUT'!$A$3:$A$3000,"&gt;="&amp;DATE(2025,4,1),'DATA INPUT'!$A$3:$A$3000,"&lt;"&amp;DATE(2025,4,31),'DATA INPUT'!$F$3:$F$3000,"&lt;&gt;*Exclude*")),#N/A))</f>
        <v>#N/A</v>
      </c>
      <c r="AP102" s="117" t="e">
        <f>IF($L$2="Yes",IFERROR((SUMIFS('DATA INPUT'!$E$3:$E$3000,'DATA INPUT'!$B$3:$B$3000,'Report Tables'!AP$1,'DATA INPUT'!$A$3:$A$3000,"&gt;="&amp;DATE(2025,4,1),'DATA INPUT'!$A$3:$A$3000,"&lt;"&amp;DATE(2025,4,31)))/COUNTIFS('DATA INPUT'!$B$3:$B$3000,'Report Tables'!AP$1,'DATA INPUT'!$A$3:$A$3000,"&gt;="&amp;DATE(2025,4,1),'DATA INPUT'!$A$3:$A$3000,"&lt;"&amp;DATE(2025,4,31)),#N/A),IFERROR((SUMIFS('DATA INPUT'!$E$3:$E$3000,'DATA INPUT'!$B$3:$B$3000,'Report Tables'!AP$1,'DATA INPUT'!$A$3:$A$3000,"&gt;="&amp;DATE(2025,4,1),'DATA INPUT'!$A$3:$A$3000,"&lt;"&amp;DATE(2025,4,31),'DATA INPUT'!$F$3:$F$3000,"&lt;&gt;*Exclude*"))/(COUNTIFS('DATA INPUT'!$B$3:$B$3000,'Report Tables'!AP$1,'DATA INPUT'!$A$3:$A$3000,"&gt;="&amp;DATE(2025,4,1),'DATA INPUT'!$A$3:$A$3000,"&lt;"&amp;DATE(2025,4,31),'DATA INPUT'!$F$3:$F$3000,"&lt;&gt;*Exclude*")),#N/A))</f>
        <v>#N/A</v>
      </c>
      <c r="AQ102" s="117" t="e">
        <f>IF($L$2="Yes",IFERROR((SUMIFS('DATA INPUT'!$E$3:$E$3000,'DATA INPUT'!$B$3:$B$3000,'Report Tables'!AQ$1,'DATA INPUT'!$A$3:$A$3000,"&gt;="&amp;DATE(2025,4,1),'DATA INPUT'!$A$3:$A$3000,"&lt;"&amp;DATE(2025,4,31)))/COUNTIFS('DATA INPUT'!$B$3:$B$3000,'Report Tables'!AQ$1,'DATA INPUT'!$A$3:$A$3000,"&gt;="&amp;DATE(2025,4,1),'DATA INPUT'!$A$3:$A$3000,"&lt;"&amp;DATE(2025,4,31)),#N/A),IFERROR((SUMIFS('DATA INPUT'!$E$3:$E$3000,'DATA INPUT'!$B$3:$B$3000,'Report Tables'!AQ$1,'DATA INPUT'!$A$3:$A$3000,"&gt;="&amp;DATE(2025,4,1),'DATA INPUT'!$A$3:$A$3000,"&lt;"&amp;DATE(2025,4,31),'DATA INPUT'!$F$3:$F$3000,"&lt;&gt;*Exclude*"))/(COUNTIFS('DATA INPUT'!$B$3:$B$3000,'Report Tables'!AQ$1,'DATA INPUT'!$A$3:$A$3000,"&gt;="&amp;DATE(2025,4,1),'DATA INPUT'!$A$3:$A$3000,"&lt;"&amp;DATE(2025,4,31),'DATA INPUT'!$F$3:$F$3000,"&lt;&gt;*Exclude*")),#N/A))</f>
        <v>#N/A</v>
      </c>
      <c r="AR102" s="117" t="e">
        <f>IF($L$2="Yes",IFERROR((SUMIFS('DATA INPUT'!$E$3:$E$3000,'DATA INPUT'!$B$3:$B$3000,'Report Tables'!AR$1,'DATA INPUT'!$A$3:$A$3000,"&gt;="&amp;DATE(2025,4,1),'DATA INPUT'!$A$3:$A$3000,"&lt;"&amp;DATE(2025,4,31)))/COUNTIFS('DATA INPUT'!$B$3:$B$3000,'Report Tables'!AR$1,'DATA INPUT'!$A$3:$A$3000,"&gt;="&amp;DATE(2025,4,1),'DATA INPUT'!$A$3:$A$3000,"&lt;"&amp;DATE(2025,4,31)),#N/A),IFERROR((SUMIFS('DATA INPUT'!$E$3:$E$3000,'DATA INPUT'!$B$3:$B$3000,'Report Tables'!AR$1,'DATA INPUT'!$A$3:$A$3000,"&gt;="&amp;DATE(2025,4,1),'DATA INPUT'!$A$3:$A$3000,"&lt;"&amp;DATE(2025,4,31),'DATA INPUT'!$F$3:$F$3000,"&lt;&gt;*Exclude*"))/(COUNTIFS('DATA INPUT'!$B$3:$B$3000,'Report Tables'!AR$1,'DATA INPUT'!$A$3:$A$3000,"&gt;="&amp;DATE(2025,4,1),'DATA INPUT'!$A$3:$A$3000,"&lt;"&amp;DATE(2025,4,31),'DATA INPUT'!$F$3:$F$3000,"&lt;&gt;*Exclude*")),#N/A))</f>
        <v>#N/A</v>
      </c>
      <c r="AS102" s="117" t="e">
        <f>IF($L$2="Yes",IFERROR((SUMIFS('DATA INPUT'!$E$3:$E$3000,'DATA INPUT'!$B$3:$B$3000,'Report Tables'!AS$1,'DATA INPUT'!$A$3:$A$3000,"&gt;="&amp;DATE(2025,4,1),'DATA INPUT'!$A$3:$A$3000,"&lt;"&amp;DATE(2025,4,31)))/COUNTIFS('DATA INPUT'!$B$3:$B$3000,'Report Tables'!AS$1,'DATA INPUT'!$A$3:$A$3000,"&gt;="&amp;DATE(2025,4,1),'DATA INPUT'!$A$3:$A$3000,"&lt;"&amp;DATE(2025,4,31)),#N/A),IFERROR((SUMIFS('DATA INPUT'!$E$3:$E$3000,'DATA INPUT'!$B$3:$B$3000,'Report Tables'!AS$1,'DATA INPUT'!$A$3:$A$3000,"&gt;="&amp;DATE(2025,4,1),'DATA INPUT'!$A$3:$A$3000,"&lt;"&amp;DATE(2025,4,31),'DATA INPUT'!$F$3:$F$3000,"&lt;&gt;*Exclude*"))/(COUNTIFS('DATA INPUT'!$B$3:$B$3000,'Report Tables'!AS$1,'DATA INPUT'!$A$3:$A$3000,"&gt;="&amp;DATE(2025,4,1),'DATA INPUT'!$A$3:$A$3000,"&lt;"&amp;DATE(2025,4,31),'DATA INPUT'!$F$3:$F$3000,"&lt;&gt;*Exclude*")),#N/A))</f>
        <v>#N/A</v>
      </c>
      <c r="AT102" s="117" t="e">
        <f>IF($L$2="Yes",IFERROR((SUMIFS('DATA INPUT'!$E$3:$E$3000,'DATA INPUT'!$B$3:$B$3000,'Report Tables'!AT$1,'DATA INPUT'!$A$3:$A$3000,"&gt;="&amp;DATE(2025,4,1),'DATA INPUT'!$A$3:$A$3000,"&lt;"&amp;DATE(2025,4,31)))/COUNTIFS('DATA INPUT'!$B$3:$B$3000,'Report Tables'!AT$1,'DATA INPUT'!$A$3:$A$3000,"&gt;="&amp;DATE(2025,4,1),'DATA INPUT'!$A$3:$A$3000,"&lt;"&amp;DATE(2025,4,31)),#N/A),IFERROR((SUMIFS('DATA INPUT'!$E$3:$E$3000,'DATA INPUT'!$B$3:$B$3000,'Report Tables'!AT$1,'DATA INPUT'!$A$3:$A$3000,"&gt;="&amp;DATE(2025,4,1),'DATA INPUT'!$A$3:$A$3000,"&lt;"&amp;DATE(2025,4,31),'DATA INPUT'!$F$3:$F$3000,"&lt;&gt;*Exclude*"))/(COUNTIFS('DATA INPUT'!$B$3:$B$3000,'Report Tables'!AT$1,'DATA INPUT'!$A$3:$A$3000,"&gt;="&amp;DATE(2025,4,1),'DATA INPUT'!$A$3:$A$3000,"&lt;"&amp;DATE(2025,4,31),'DATA INPUT'!$F$3:$F$3000,"&lt;&gt;*Exclude*")),#N/A))</f>
        <v>#N/A</v>
      </c>
      <c r="AU102" s="117" t="e">
        <f t="shared" si="24"/>
        <v>#N/A</v>
      </c>
      <c r="AV102" s="117" t="e">
        <f>IF($L$2="Yes",IFERROR((SUMIFS('DATA INPUT'!$D$3:$D$3000,'DATA INPUT'!$A$3:$A$3000,"&gt;="&amp;DATE(2025,4,1),'DATA INPUT'!$A$3:$A$3000,"&lt;"&amp;DATE(2025,4,31),'DATA INPUT'!$G$3:$G$3000,"&lt;&gt;*School service*"))/COUNTIFS('DATA INPUT'!$A$3:$A$3000,"&gt;="&amp;DATE(2025,4,1),'DATA INPUT'!$A$3:$A$3000,"&lt;"&amp;DATE(2025,4,31),'DATA INPUT'!$G$3:$G$3000,"&lt;&gt;*School service*",'DATA INPUT'!$D$3:$D$3000,"&lt;&gt;"&amp;""),#N/A),IFERROR((SUMIFS('DATA INPUT'!$D$3:$D$3000,'DATA INPUT'!$A$3:$A$3000,"&gt;="&amp;DATE(2025,4,1),'DATA INPUT'!$A$3:$A$3000,"&lt;"&amp;DATE(2025,4,31),'DATA INPUT'!$F$3:$F$3000,"&lt;&gt;*Exclude*",'DATA INPUT'!$G$3:$G$3000,"&lt;&gt;*School service*"))/(COUNTIFS('DATA INPUT'!$A$3:$A$3000,"&gt;="&amp;DATE(2025,4,1),'DATA INPUT'!$A$3:$A$3000,"&lt;"&amp;DATE(2025,4,31),'DATA INPUT'!$F$3:$F$3000,"&lt;&gt;*Exclude*",'DATA INPUT'!$G$3:$G$3000,"&lt;&gt;*School service*",'DATA INPUT'!$D$3:$D$3000,"&lt;&gt;"&amp;"")),#N/A))</f>
        <v>#N/A</v>
      </c>
      <c r="AW102" s="117" t="e">
        <f t="shared" si="25"/>
        <v>#N/A</v>
      </c>
      <c r="AX102" s="117" t="e">
        <f>IF($L$2="Yes",IFERROR((SUMIFS('DATA INPUT'!$E$3:$E$3000,'DATA INPUT'!$B$3:$B$3000,'Report Tables'!AX$1,'DATA INPUT'!$A$3:$A$3000,"&gt;="&amp;DATE(2025,4,1),'DATA INPUT'!$A$3:$A$3000,"&lt;"&amp;DATE(2025,4,31)))/COUNTIFS('DATA INPUT'!$B$3:$B$3000,'Report Tables'!AX$1,'DATA INPUT'!$A$3:$A$3000,"&gt;="&amp;DATE(2025,4,1),'DATA INPUT'!$A$3:$A$3000,"&lt;"&amp;DATE(2025,4,31)),#N/A),IFERROR((SUMIFS('DATA INPUT'!$E$3:$E$3000,'DATA INPUT'!$B$3:$B$3000,'Report Tables'!AX$1,'DATA INPUT'!$A$3:$A$3000,"&gt;="&amp;DATE(2025,4,1),'DATA INPUT'!$A$3:$A$3000,"&lt;"&amp;DATE(2025,4,31),'DATA INPUT'!$F$3:$F$3000,"&lt;&gt;*Exclude*"))/(COUNTIFS('DATA INPUT'!$B$3:$B$3000,'Report Tables'!AX$1,'DATA INPUT'!$A$3:$A$3000,"&gt;="&amp;DATE(2025,4,1),'DATA INPUT'!$A$3:$A$3000,"&lt;"&amp;DATE(2025,4,31),'DATA INPUT'!$F$3:$F$3000,"&lt;&gt;*Exclude*")),#N/A))</f>
        <v>#N/A</v>
      </c>
      <c r="AY102" s="117" t="e">
        <f>IF($L$2="Yes",IFERROR((SUMIFS('DATA INPUT'!$D$3:$D$3000,'DATA INPUT'!$B$3:$B$3000,'Report Tables'!AX$1,'DATA INPUT'!$A$3:$A$3000,"&gt;="&amp;DATE(2025,4,1),'DATA INPUT'!$A$3:$A$3000,"&lt;"&amp;DATE(2025,4,31)))/COUNTIFS('DATA INPUT'!$B$3:$B$3000,'Report Tables'!AX$1,'DATA INPUT'!$A$3:$A$3000,"&gt;="&amp;DATE(2025,4,1),'DATA INPUT'!$A$3:$A$3000,"&lt;"&amp;DATE(2025,4,31)),#N/A),IFERROR((SUMIFS('DATA INPUT'!$D$3:$D$3000,'DATA INPUT'!$B$3:$B$3000,'Report Tables'!AX$1,'DATA INPUT'!$A$3:$A$3000,"&gt;="&amp;DATE(2025,4,1),'DATA INPUT'!$A$3:$A$3000,"&lt;"&amp;DATE(2025,4,31),'DATA INPUT'!$F$3:$F$3000,"&lt;&gt;*Exclude*"))/(COUNTIFS('DATA INPUT'!$B$3:$B$3000,'Report Tables'!AX$1,'DATA INPUT'!$A$3:$A$3000,"&gt;="&amp;DATE(2025,4,1),'DATA INPUT'!$A$3:$A$3000,"&lt;"&amp;DATE(2025,4,31),'DATA INPUT'!$F$3:$F$3000,"&lt;&gt;*Exclude*")),#N/A))</f>
        <v>#N/A</v>
      </c>
      <c r="AZ102" s="117" t="e">
        <f>IF($L$2="Yes",IFERROR((SUMIFS('DATA INPUT'!$C$3:$C$3000,'DATA INPUT'!$B$3:$B$3000,'Report Tables'!AX$1,'DATA INPUT'!$A$3:$A$3000,"&gt;="&amp;DATE(2025,4,1),'DATA INPUT'!$A$3:$A$3000,"&lt;"&amp;DATE(2025,4,31)))/COUNTIFS('DATA INPUT'!$B$3:$B$3000,'Report Tables'!AX$1,'DATA INPUT'!$A$3:$A$3000,"&gt;="&amp;DATE(2025,4,1),'DATA INPUT'!$A$3:$A$3000,"&lt;"&amp;DATE(2025,4,31)),#N/A),IFERROR((SUMIFS('DATA INPUT'!$C$3:$C$3000,'DATA INPUT'!$B$3:$B$3000,'Report Tables'!AX$1,'DATA INPUT'!$A$3:$A$3000,"&gt;="&amp;DATE(2025,4,1),'DATA INPUT'!$A$3:$A$3000,"&lt;"&amp;DATE(2025,4,31),'DATA INPUT'!$F$3:$F$3000,"&lt;&gt;*Exclude*"))/(COUNTIFS('DATA INPUT'!$B$3:$B$3000,'Report Tables'!AX$1,'DATA INPUT'!$A$3:$A$3000,"&gt;="&amp;DATE(2025,4,1),'DATA INPUT'!$A$3:$A$3000,"&lt;"&amp;DATE(2025,4,31),'DATA INPUT'!$F$3:$F$3000,"&lt;&gt;*Exclude*")),#N/A))</f>
        <v>#N/A</v>
      </c>
    </row>
    <row r="103" spans="25:52" x14ac:dyDescent="0.3">
      <c r="Y103" s="149"/>
      <c r="Z103" s="149" t="s">
        <v>16</v>
      </c>
      <c r="AA103" s="136" t="e">
        <f>IF($L$2="Yes",IF(SUMIFS('DATA INPUT'!$E$3:$E$3000,'DATA INPUT'!$B$3:$B$3000,'Report Tables'!AA$1,'DATA INPUT'!$A$3:$A$3000,"&gt;="&amp;DATE(2025,5,1),'DATA INPUT'!$A$3:$A$3000,"&lt;"&amp;DATE(2025,5,31))=0,#N/A,(SUMIFS('DATA INPUT'!$E$3:$E$3000,'DATA INPUT'!$B$3:$B$3000,'Report Tables'!AA$1,'DATA INPUT'!$A$3:$A$3000,"&gt;="&amp;DATE(2025,5,1),'DATA INPUT'!$A$3:$A$3000,"&lt;"&amp;DATE(2025,5,31)))),IF(SUMIFS('DATA INPUT'!$E$3:$E$3000,'DATA INPUT'!$B$3:$B$3000,'Report Tables'!AA$1,'DATA INPUT'!$A$3:$A$3000,"&gt;="&amp;DATE(2025,5,1),'DATA INPUT'!$A$3:$A$3000,"&lt;"&amp;DATE(2025,5,31),'DATA INPUT'!$F$3:$F$3000,"&lt;&gt;*Exclude*")=0,#N/A,(SUMIFS('DATA INPUT'!$E$3:$E$3000,'DATA INPUT'!$B$3:$B$3000,'Report Tables'!AA$1,'DATA INPUT'!$A$3:$A$3000,"&gt;="&amp;DATE(2025,5,1),'DATA INPUT'!$A$3:$A$3000,"&lt;"&amp;DATE(2025,5,31),'DATA INPUT'!$F$3:$F$3000,"&lt;&gt;*Exclude*"))))</f>
        <v>#N/A</v>
      </c>
      <c r="AB103" s="136" t="e">
        <f>IF($L$2="Yes",IF(SUMIFS('DATA INPUT'!$E$3:$E$3000,'DATA INPUT'!$B$3:$B$3000,'Report Tables'!AB$1,'DATA INPUT'!$A$3:$A$3000,"&gt;="&amp;DATE(2025,5,1),'DATA INPUT'!$A$3:$A$3000,"&lt;"&amp;DATE(2025,5,31))=0,#N/A,(SUMIFS('DATA INPUT'!$E$3:$E$3000,'DATA INPUT'!$B$3:$B$3000,'Report Tables'!AB$1,'DATA INPUT'!$A$3:$A$3000,"&gt;="&amp;DATE(2025,5,1),'DATA INPUT'!$A$3:$A$3000,"&lt;"&amp;DATE(2025,5,31)))),IF(SUMIFS('DATA INPUT'!$E$3:$E$3000,'DATA INPUT'!$B$3:$B$3000,'Report Tables'!AB$1,'DATA INPUT'!$A$3:$A$3000,"&gt;="&amp;DATE(2025,5,1),'DATA INPUT'!$A$3:$A$3000,"&lt;"&amp;DATE(2025,5,31),'DATA INPUT'!$F$3:$F$3000,"&lt;&gt;*Exclude*")=0,#N/A,(SUMIFS('DATA INPUT'!$E$3:$E$3000,'DATA INPUT'!$B$3:$B$3000,'Report Tables'!AB$1,'DATA INPUT'!$A$3:$A$3000,"&gt;="&amp;DATE(2025,5,1),'DATA INPUT'!$A$3:$A$3000,"&lt;"&amp;DATE(2025,5,31),'DATA INPUT'!$F$3:$F$3000,"&lt;&gt;*Exclude*"))))</f>
        <v>#N/A</v>
      </c>
      <c r="AC103" s="136" t="e">
        <f>IF($L$2="Yes",IF(SUMIFS('DATA INPUT'!$E$3:$E$3000,'DATA INPUT'!$B$3:$B$3000,'Report Tables'!AC$1,'DATA INPUT'!$A$3:$A$3000,"&gt;="&amp;DATE(2025,5,1),'DATA INPUT'!$A$3:$A$3000,"&lt;"&amp;DATE(2025,5,31))=0,#N/A,(SUMIFS('DATA INPUT'!$E$3:$E$3000,'DATA INPUT'!$B$3:$B$3000,'Report Tables'!AC$1,'DATA INPUT'!$A$3:$A$3000,"&gt;="&amp;DATE(2025,5,1),'DATA INPUT'!$A$3:$A$3000,"&lt;"&amp;DATE(2025,5,31)))),IF(SUMIFS('DATA INPUT'!$E$3:$E$3000,'DATA INPUT'!$B$3:$B$3000,'Report Tables'!AC$1,'DATA INPUT'!$A$3:$A$3000,"&gt;="&amp;DATE(2025,5,1),'DATA INPUT'!$A$3:$A$3000,"&lt;"&amp;DATE(2025,5,31),'DATA INPUT'!$F$3:$F$3000,"&lt;&gt;*Exclude*")=0,#N/A,(SUMIFS('DATA INPUT'!$E$3:$E$3000,'DATA INPUT'!$B$3:$B$3000,'Report Tables'!AC$1,'DATA INPUT'!$A$3:$A$3000,"&gt;="&amp;DATE(2025,5,1),'DATA INPUT'!$A$3:$A$3000,"&lt;"&amp;DATE(2025,5,31),'DATA INPUT'!$F$3:$F$3000,"&lt;&gt;*Exclude*"))))</f>
        <v>#N/A</v>
      </c>
      <c r="AD103" s="136" t="e">
        <f>IF($L$2="Yes",IF(SUMIFS('DATA INPUT'!$E$3:$E$3000,'DATA INPUT'!$B$3:$B$3000,'Report Tables'!AD$1,'DATA INPUT'!$A$3:$A$3000,"&gt;="&amp;DATE(2025,5,1),'DATA INPUT'!$A$3:$A$3000,"&lt;"&amp;DATE(2025,5,31))=0,#N/A,(SUMIFS('DATA INPUT'!$E$3:$E$3000,'DATA INPUT'!$B$3:$B$3000,'Report Tables'!AD$1,'DATA INPUT'!$A$3:$A$3000,"&gt;="&amp;DATE(2025,5,1),'DATA INPUT'!$A$3:$A$3000,"&lt;"&amp;DATE(2025,5,31)))),IF(SUMIFS('DATA INPUT'!$E$3:$E$3000,'DATA INPUT'!$B$3:$B$3000,'Report Tables'!AD$1,'DATA INPUT'!$A$3:$A$3000,"&gt;="&amp;DATE(2025,5,1),'DATA INPUT'!$A$3:$A$3000,"&lt;"&amp;DATE(2025,5,31),'DATA INPUT'!$F$3:$F$3000,"&lt;&gt;*Exclude*")=0,#N/A,(SUMIFS('DATA INPUT'!$E$3:$E$3000,'DATA INPUT'!$B$3:$B$3000,'Report Tables'!AD$1,'DATA INPUT'!$A$3:$A$3000,"&gt;="&amp;DATE(2025,5,1),'DATA INPUT'!$A$3:$A$3000,"&lt;"&amp;DATE(2025,5,31),'DATA INPUT'!$F$3:$F$3000,"&lt;&gt;*Exclude*"))))</f>
        <v>#N/A</v>
      </c>
      <c r="AE103" s="136" t="e">
        <f>IF($L$2="Yes",IF(SUMIFS('DATA INPUT'!$E$3:$E$3000,'DATA INPUT'!$B$3:$B$3000,'Report Tables'!AE$1,'DATA INPUT'!$A$3:$A$3000,"&gt;="&amp;DATE(2025,5,1),'DATA INPUT'!$A$3:$A$3000,"&lt;"&amp;DATE(2025,5,31))=0,#N/A,(SUMIFS('DATA INPUT'!$E$3:$E$3000,'DATA INPUT'!$B$3:$B$3000,'Report Tables'!AE$1,'DATA INPUT'!$A$3:$A$3000,"&gt;="&amp;DATE(2025,5,1),'DATA INPUT'!$A$3:$A$3000,"&lt;"&amp;DATE(2025,5,31)))),IF(SUMIFS('DATA INPUT'!$E$3:$E$3000,'DATA INPUT'!$B$3:$B$3000,'Report Tables'!AE$1,'DATA INPUT'!$A$3:$A$3000,"&gt;="&amp;DATE(2025,5,1),'DATA INPUT'!$A$3:$A$3000,"&lt;"&amp;DATE(2025,5,31),'DATA INPUT'!$F$3:$F$3000,"&lt;&gt;*Exclude*")=0,#N/A,(SUMIFS('DATA INPUT'!$E$3:$E$3000,'DATA INPUT'!$B$3:$B$3000,'Report Tables'!AE$1,'DATA INPUT'!$A$3:$A$3000,"&gt;="&amp;DATE(2025,5,1),'DATA INPUT'!$A$3:$A$3000,"&lt;"&amp;DATE(2025,5,31),'DATA INPUT'!$F$3:$F$3000,"&lt;&gt;*Exclude*"))))</f>
        <v>#N/A</v>
      </c>
      <c r="AF103" s="136" t="e">
        <f>IF($L$2="Yes",IF(SUMIFS('DATA INPUT'!$E$3:$E$3000,'DATA INPUT'!$B$3:$B$3000,'Report Tables'!AF$1,'DATA INPUT'!$A$3:$A$3000,"&gt;="&amp;DATE(2025,5,1),'DATA INPUT'!$A$3:$A$3000,"&lt;"&amp;DATE(2025,5,31))=0,#N/A,(SUMIFS('DATA INPUT'!$E$3:$E$3000,'DATA INPUT'!$B$3:$B$3000,'Report Tables'!AF$1,'DATA INPUT'!$A$3:$A$3000,"&gt;="&amp;DATE(2025,5,1),'DATA INPUT'!$A$3:$A$3000,"&lt;"&amp;DATE(2025,5,31)))),IF(SUMIFS('DATA INPUT'!$E$3:$E$3000,'DATA INPUT'!$B$3:$B$3000,'Report Tables'!AF$1,'DATA INPUT'!$A$3:$A$3000,"&gt;="&amp;DATE(2025,5,1),'DATA INPUT'!$A$3:$A$3000,"&lt;"&amp;DATE(2025,5,31),'DATA INPUT'!$F$3:$F$3000,"&lt;&gt;*Exclude*")=0,#N/A,(SUMIFS('DATA INPUT'!$E$3:$E$3000,'DATA INPUT'!$B$3:$B$3000,'Report Tables'!AF$1,'DATA INPUT'!$A$3:$A$3000,"&gt;="&amp;DATE(2025,5,1),'DATA INPUT'!$A$3:$A$3000,"&lt;"&amp;DATE(2025,5,31),'DATA INPUT'!$F$3:$F$3000,"&lt;&gt;*Exclude*"))))</f>
        <v>#N/A</v>
      </c>
      <c r="AG103" s="136" t="e">
        <f>IF($L$2="Yes",IF(SUMIFS('DATA INPUT'!$E$3:$E$3000,'DATA INPUT'!$B$3:$B$3000,'Report Tables'!AG$1,'DATA INPUT'!$A$3:$A$3000,"&gt;="&amp;DATE(2025,5,1),'DATA INPUT'!$A$3:$A$3000,"&lt;"&amp;DATE(2025,5,31))=0,#N/A,(SUMIFS('DATA INPUT'!$E$3:$E$3000,'DATA INPUT'!$B$3:$B$3000,'Report Tables'!AG$1,'DATA INPUT'!$A$3:$A$3000,"&gt;="&amp;DATE(2025,5,1),'DATA INPUT'!$A$3:$A$3000,"&lt;"&amp;DATE(2025,5,31)))),IF(SUMIFS('DATA INPUT'!$E$3:$E$3000,'DATA INPUT'!$B$3:$B$3000,'Report Tables'!AG$1,'DATA INPUT'!$A$3:$A$3000,"&gt;="&amp;DATE(2025,5,1),'DATA INPUT'!$A$3:$A$3000,"&lt;"&amp;DATE(2025,5,31),'DATA INPUT'!$F$3:$F$3000,"&lt;&gt;*Exclude*")=0,#N/A,(SUMIFS('DATA INPUT'!$E$3:$E$3000,'DATA INPUT'!$B$3:$B$3000,'Report Tables'!AG$1,'DATA INPUT'!$A$3:$A$3000,"&gt;="&amp;DATE(2025,5,1),'DATA INPUT'!$A$3:$A$3000,"&lt;"&amp;DATE(2025,5,31),'DATA INPUT'!$F$3:$F$3000,"&lt;&gt;*Exclude*"))))</f>
        <v>#N/A</v>
      </c>
      <c r="AH103" s="136" t="e">
        <f>IF($L$2="Yes",IF(SUMIFS('DATA INPUT'!$E$3:$E$3000,'DATA INPUT'!$B$3:$B$3000,'Report Tables'!AH$1,'DATA INPUT'!$A$3:$A$3000,"&gt;="&amp;DATE(2025,5,1),'DATA INPUT'!$A$3:$A$3000,"&lt;"&amp;DATE(2025,5,31))=0,#N/A,(SUMIFS('DATA INPUT'!$E$3:$E$3000,'DATA INPUT'!$B$3:$B$3000,'Report Tables'!AH$1,'DATA INPUT'!$A$3:$A$3000,"&gt;="&amp;DATE(2025,5,1),'DATA INPUT'!$A$3:$A$3000,"&lt;"&amp;DATE(2025,5,31)))),IF(SUMIFS('DATA INPUT'!$E$3:$E$3000,'DATA INPUT'!$B$3:$B$3000,'Report Tables'!AH$1,'DATA INPUT'!$A$3:$A$3000,"&gt;="&amp;DATE(2025,5,1),'DATA INPUT'!$A$3:$A$3000,"&lt;"&amp;DATE(2025,5,31),'DATA INPUT'!$F$3:$F$3000,"&lt;&gt;*Exclude*")=0,#N/A,(SUMIFS('DATA INPUT'!$E$3:$E$3000,'DATA INPUT'!$B$3:$B$3000,'Report Tables'!AH$1,'DATA INPUT'!$A$3:$A$3000,"&gt;="&amp;DATE(2025,5,1),'DATA INPUT'!$A$3:$A$3000,"&lt;"&amp;DATE(2025,5,31),'DATA INPUT'!$F$3:$F$3000,"&lt;&gt;*Exclude*"))))</f>
        <v>#N/A</v>
      </c>
      <c r="AI103" s="136" t="e">
        <f t="shared" si="23"/>
        <v>#N/A</v>
      </c>
      <c r="AJ103" s="136" t="e">
        <f>IF($L$2="Yes",IF(SUMIFS('DATA INPUT'!$D$3:$D$3000,'DATA INPUT'!$A$3:$A$3000,"&gt;="&amp;DATE(2025,5,1),'DATA INPUT'!$A$3:$A$3000,"&lt;"&amp;DATE(2025,5,31),'DATA INPUT'!$G$3:$G$3000,"&lt;&gt;*School service*")=0,#N/A,(SUMIFS('DATA INPUT'!$D$3:$D$3000,'DATA INPUT'!$A$3:$A$3000,"&gt;="&amp;DATE(2025,5,1),'DATA INPUT'!$A$3:$A$3000,"&lt;"&amp;DATE(2025,5,31),'DATA INPUT'!$G$3:$G$3000,"&lt;&gt;*School service*"))),IF(SUMIFS('DATA INPUT'!$D$3:$D$3000,'DATA INPUT'!$A$3:$A$3000,"&gt;="&amp;DATE(2025,5,1),'DATA INPUT'!$A$3:$A$3000,"&lt;"&amp;DATE(2025,5,31),'DATA INPUT'!$F$3:$F$3000,"&lt;&gt;*Exclude*",'DATA INPUT'!$G$3:$G$3000,"&lt;&gt;*School service*")=0,#N/A,(SUMIFS('DATA INPUT'!$D$3:$D$3000,'DATA INPUT'!$A$3:$A$3000,"&gt;="&amp;DATE(2025,5,1),'DATA INPUT'!$A$3:$A$3000,"&lt;"&amp;DATE(2025,5,31),'DATA INPUT'!$F$3:$F$3000,"&lt;&gt;*Exclude*",'DATA INPUT'!$G$3:$G$3000,"&lt;&gt;*School service*"))))</f>
        <v>#N/A</v>
      </c>
      <c r="AK103" s="136" t="e">
        <f>AI103-AJ103</f>
        <v>#N/A</v>
      </c>
      <c r="AM103" s="117" t="e">
        <f>IF($L$2="Yes",IFERROR((SUMIFS('DATA INPUT'!$E$3:$E$3000,'DATA INPUT'!$B$3:$B$3000,'Report Tables'!AM$1,'DATA INPUT'!$A$3:$A$3000,"&gt;="&amp;DATE(2025,5,1),'DATA INPUT'!$A$3:$A$3000,"&lt;"&amp;DATE(2025,5,31)))/COUNTIFS('DATA INPUT'!$B$3:$B$3000,'Report Tables'!AM$1,'DATA INPUT'!$A$3:$A$3000,"&gt;="&amp;DATE(2025,5,1),'DATA INPUT'!$A$3:$A$3000,"&lt;"&amp;DATE(2025,5,31)),#N/A),IFERROR((SUMIFS('DATA INPUT'!$E$3:$E$3000,'DATA INPUT'!$B$3:$B$3000,'Report Tables'!AM$1,'DATA INPUT'!$A$3:$A$3000,"&gt;="&amp;DATE(2025,5,1),'DATA INPUT'!$A$3:$A$3000,"&lt;"&amp;DATE(2025,5,31),'DATA INPUT'!$F$3:$F$3000,"&lt;&gt;*Exclude*"))/(COUNTIFS('DATA INPUT'!$B$3:$B$3000,'Report Tables'!AM$1,'DATA INPUT'!$A$3:$A$3000,"&gt;="&amp;DATE(2025,5,1),'DATA INPUT'!$A$3:$A$3000,"&lt;"&amp;DATE(2025,5,31),'DATA INPUT'!$F$3:$F$3000,"&lt;&gt;*Exclude*")),#N/A))</f>
        <v>#N/A</v>
      </c>
      <c r="AN103" s="117" t="e">
        <f>IF($L$2="Yes",IFERROR((SUMIFS('DATA INPUT'!$E$3:$E$3000,'DATA INPUT'!$B$3:$B$3000,'Report Tables'!AN$1,'DATA INPUT'!$A$3:$A$3000,"&gt;="&amp;DATE(2025,5,1),'DATA INPUT'!$A$3:$A$3000,"&lt;"&amp;DATE(2025,5,31)))/COUNTIFS('DATA INPUT'!$B$3:$B$3000,'Report Tables'!AN$1,'DATA INPUT'!$A$3:$A$3000,"&gt;="&amp;DATE(2025,5,1),'DATA INPUT'!$A$3:$A$3000,"&lt;"&amp;DATE(2025,5,31)),#N/A),IFERROR((SUMIFS('DATA INPUT'!$E$3:$E$3000,'DATA INPUT'!$B$3:$B$3000,'Report Tables'!AN$1,'DATA INPUT'!$A$3:$A$3000,"&gt;="&amp;DATE(2025,5,1),'DATA INPUT'!$A$3:$A$3000,"&lt;"&amp;DATE(2025,5,31),'DATA INPUT'!$F$3:$F$3000,"&lt;&gt;*Exclude*"))/(COUNTIFS('DATA INPUT'!$B$3:$B$3000,'Report Tables'!AN$1,'DATA INPUT'!$A$3:$A$3000,"&gt;="&amp;DATE(2025,5,1),'DATA INPUT'!$A$3:$A$3000,"&lt;"&amp;DATE(2025,5,31),'DATA INPUT'!$F$3:$F$3000,"&lt;&gt;*Exclude*")),#N/A))</f>
        <v>#N/A</v>
      </c>
      <c r="AO103" s="117" t="e">
        <f>IF($L$2="Yes",IFERROR((SUMIFS('DATA INPUT'!$E$3:$E$3000,'DATA INPUT'!$B$3:$B$3000,'Report Tables'!AO$1,'DATA INPUT'!$A$3:$A$3000,"&gt;="&amp;DATE(2025,5,1),'DATA INPUT'!$A$3:$A$3000,"&lt;"&amp;DATE(2025,5,31)))/COUNTIFS('DATA INPUT'!$B$3:$B$3000,'Report Tables'!AO$1,'DATA INPUT'!$A$3:$A$3000,"&gt;="&amp;DATE(2025,5,1),'DATA INPUT'!$A$3:$A$3000,"&lt;"&amp;DATE(2025,5,31)),#N/A),IFERROR((SUMIFS('DATA INPUT'!$E$3:$E$3000,'DATA INPUT'!$B$3:$B$3000,'Report Tables'!AO$1,'DATA INPUT'!$A$3:$A$3000,"&gt;="&amp;DATE(2025,5,1),'DATA INPUT'!$A$3:$A$3000,"&lt;"&amp;DATE(2025,5,31),'DATA INPUT'!$F$3:$F$3000,"&lt;&gt;*Exclude*"))/(COUNTIFS('DATA INPUT'!$B$3:$B$3000,'Report Tables'!AO$1,'DATA INPUT'!$A$3:$A$3000,"&gt;="&amp;DATE(2025,5,1),'DATA INPUT'!$A$3:$A$3000,"&lt;"&amp;DATE(2025,5,31),'DATA INPUT'!$F$3:$F$3000,"&lt;&gt;*Exclude*")),#N/A))</f>
        <v>#N/A</v>
      </c>
      <c r="AP103" s="117" t="e">
        <f>IF($L$2="Yes",IFERROR((SUMIFS('DATA INPUT'!$E$3:$E$3000,'DATA INPUT'!$B$3:$B$3000,'Report Tables'!AP$1,'DATA INPUT'!$A$3:$A$3000,"&gt;="&amp;DATE(2025,5,1),'DATA INPUT'!$A$3:$A$3000,"&lt;"&amp;DATE(2025,5,31)))/COUNTIFS('DATA INPUT'!$B$3:$B$3000,'Report Tables'!AP$1,'DATA INPUT'!$A$3:$A$3000,"&gt;="&amp;DATE(2025,5,1),'DATA INPUT'!$A$3:$A$3000,"&lt;"&amp;DATE(2025,5,31)),#N/A),IFERROR((SUMIFS('DATA INPUT'!$E$3:$E$3000,'DATA INPUT'!$B$3:$B$3000,'Report Tables'!AP$1,'DATA INPUT'!$A$3:$A$3000,"&gt;="&amp;DATE(2025,5,1),'DATA INPUT'!$A$3:$A$3000,"&lt;"&amp;DATE(2025,5,31),'DATA INPUT'!$F$3:$F$3000,"&lt;&gt;*Exclude*"))/(COUNTIFS('DATA INPUT'!$B$3:$B$3000,'Report Tables'!AP$1,'DATA INPUT'!$A$3:$A$3000,"&gt;="&amp;DATE(2025,5,1),'DATA INPUT'!$A$3:$A$3000,"&lt;"&amp;DATE(2025,5,31),'DATA INPUT'!$F$3:$F$3000,"&lt;&gt;*Exclude*")),#N/A))</f>
        <v>#N/A</v>
      </c>
      <c r="AQ103" s="117" t="e">
        <f>IF($L$2="Yes",IFERROR((SUMIFS('DATA INPUT'!$E$3:$E$3000,'DATA INPUT'!$B$3:$B$3000,'Report Tables'!AQ$1,'DATA INPUT'!$A$3:$A$3000,"&gt;="&amp;DATE(2025,5,1),'DATA INPUT'!$A$3:$A$3000,"&lt;"&amp;DATE(2025,5,31)))/COUNTIFS('DATA INPUT'!$B$3:$B$3000,'Report Tables'!AQ$1,'DATA INPUT'!$A$3:$A$3000,"&gt;="&amp;DATE(2025,5,1),'DATA INPUT'!$A$3:$A$3000,"&lt;"&amp;DATE(2025,5,31)),#N/A),IFERROR((SUMIFS('DATA INPUT'!$E$3:$E$3000,'DATA INPUT'!$B$3:$B$3000,'Report Tables'!AQ$1,'DATA INPUT'!$A$3:$A$3000,"&gt;="&amp;DATE(2025,5,1),'DATA INPUT'!$A$3:$A$3000,"&lt;"&amp;DATE(2025,5,31),'DATA INPUT'!$F$3:$F$3000,"&lt;&gt;*Exclude*"))/(COUNTIFS('DATA INPUT'!$B$3:$B$3000,'Report Tables'!AQ$1,'DATA INPUT'!$A$3:$A$3000,"&gt;="&amp;DATE(2025,5,1),'DATA INPUT'!$A$3:$A$3000,"&lt;"&amp;DATE(2025,5,31),'DATA INPUT'!$F$3:$F$3000,"&lt;&gt;*Exclude*")),#N/A))</f>
        <v>#N/A</v>
      </c>
      <c r="AR103" s="117" t="e">
        <f>IF($L$2="Yes",IFERROR((SUMIFS('DATA INPUT'!$E$3:$E$3000,'DATA INPUT'!$B$3:$B$3000,'Report Tables'!AR$1,'DATA INPUT'!$A$3:$A$3000,"&gt;="&amp;DATE(2025,5,1),'DATA INPUT'!$A$3:$A$3000,"&lt;"&amp;DATE(2025,5,31)))/COUNTIFS('DATA INPUT'!$B$3:$B$3000,'Report Tables'!AR$1,'DATA INPUT'!$A$3:$A$3000,"&gt;="&amp;DATE(2025,5,1),'DATA INPUT'!$A$3:$A$3000,"&lt;"&amp;DATE(2025,5,31)),#N/A),IFERROR((SUMIFS('DATA INPUT'!$E$3:$E$3000,'DATA INPUT'!$B$3:$B$3000,'Report Tables'!AR$1,'DATA INPUT'!$A$3:$A$3000,"&gt;="&amp;DATE(2025,5,1),'DATA INPUT'!$A$3:$A$3000,"&lt;"&amp;DATE(2025,5,31),'DATA INPUT'!$F$3:$F$3000,"&lt;&gt;*Exclude*"))/(COUNTIFS('DATA INPUT'!$B$3:$B$3000,'Report Tables'!AR$1,'DATA INPUT'!$A$3:$A$3000,"&gt;="&amp;DATE(2025,5,1),'DATA INPUT'!$A$3:$A$3000,"&lt;"&amp;DATE(2025,5,31),'DATA INPUT'!$F$3:$F$3000,"&lt;&gt;*Exclude*")),#N/A))</f>
        <v>#N/A</v>
      </c>
      <c r="AS103" s="117" t="e">
        <f>IF($L$2="Yes",IFERROR((SUMIFS('DATA INPUT'!$E$3:$E$3000,'DATA INPUT'!$B$3:$B$3000,'Report Tables'!AS$1,'DATA INPUT'!$A$3:$A$3000,"&gt;="&amp;DATE(2025,5,1),'DATA INPUT'!$A$3:$A$3000,"&lt;"&amp;DATE(2025,5,31)))/COUNTIFS('DATA INPUT'!$B$3:$B$3000,'Report Tables'!AS$1,'DATA INPUT'!$A$3:$A$3000,"&gt;="&amp;DATE(2025,5,1),'DATA INPUT'!$A$3:$A$3000,"&lt;"&amp;DATE(2025,5,31)),#N/A),IFERROR((SUMIFS('DATA INPUT'!$E$3:$E$3000,'DATA INPUT'!$B$3:$B$3000,'Report Tables'!AS$1,'DATA INPUT'!$A$3:$A$3000,"&gt;="&amp;DATE(2025,5,1),'DATA INPUT'!$A$3:$A$3000,"&lt;"&amp;DATE(2025,5,31),'DATA INPUT'!$F$3:$F$3000,"&lt;&gt;*Exclude*"))/(COUNTIFS('DATA INPUT'!$B$3:$B$3000,'Report Tables'!AS$1,'DATA INPUT'!$A$3:$A$3000,"&gt;="&amp;DATE(2025,5,1),'DATA INPUT'!$A$3:$A$3000,"&lt;"&amp;DATE(2025,5,31),'DATA INPUT'!$F$3:$F$3000,"&lt;&gt;*Exclude*")),#N/A))</f>
        <v>#N/A</v>
      </c>
      <c r="AT103" s="117" t="e">
        <f>IF($L$2="Yes",IFERROR((SUMIFS('DATA INPUT'!$E$3:$E$3000,'DATA INPUT'!$B$3:$B$3000,'Report Tables'!AT$1,'DATA INPUT'!$A$3:$A$3000,"&gt;="&amp;DATE(2025,5,1),'DATA INPUT'!$A$3:$A$3000,"&lt;"&amp;DATE(2025,5,31)))/COUNTIFS('DATA INPUT'!$B$3:$B$3000,'Report Tables'!AT$1,'DATA INPUT'!$A$3:$A$3000,"&gt;="&amp;DATE(2025,5,1),'DATA INPUT'!$A$3:$A$3000,"&lt;"&amp;DATE(2025,5,31)),#N/A),IFERROR((SUMIFS('DATA INPUT'!$E$3:$E$3000,'DATA INPUT'!$B$3:$B$3000,'Report Tables'!AT$1,'DATA INPUT'!$A$3:$A$3000,"&gt;="&amp;DATE(2025,5,1),'DATA INPUT'!$A$3:$A$3000,"&lt;"&amp;DATE(2025,5,31),'DATA INPUT'!$F$3:$F$3000,"&lt;&gt;*Exclude*"))/(COUNTIFS('DATA INPUT'!$B$3:$B$3000,'Report Tables'!AT$1,'DATA INPUT'!$A$3:$A$3000,"&gt;="&amp;DATE(2025,5,1),'DATA INPUT'!$A$3:$A$3000,"&lt;"&amp;DATE(2025,5,31),'DATA INPUT'!$F$3:$F$3000,"&lt;&gt;*Exclude*")),#N/A))</f>
        <v>#N/A</v>
      </c>
      <c r="AU103" s="117" t="e">
        <f t="shared" si="24"/>
        <v>#N/A</v>
      </c>
      <c r="AV103" s="117" t="e">
        <f>IF($L$2="Yes",IFERROR((SUMIFS('DATA INPUT'!$D$3:$D$3000,'DATA INPUT'!$A$3:$A$3000,"&gt;="&amp;DATE(2025,5,1),'DATA INPUT'!$A$3:$A$3000,"&lt;"&amp;DATE(2025,5,31),'DATA INPUT'!$G$3:$G$3000,"&lt;&gt;*School service*"))/COUNTIFS('DATA INPUT'!$A$3:$A$3000,"&gt;="&amp;DATE(2025,5,1),'DATA INPUT'!$A$3:$A$3000,"&lt;"&amp;DATE(2025,5,31),'DATA INPUT'!$G$3:$G$3000,"&lt;&gt;*School service*",'DATA INPUT'!$D$3:$D$3000,"&lt;&gt;"&amp;""),#N/A),IFERROR((SUMIFS('DATA INPUT'!$D$3:$D$3000,'DATA INPUT'!$A$3:$A$3000,"&gt;="&amp;DATE(2025,5,1),'DATA INPUT'!$A$3:$A$3000,"&lt;"&amp;DATE(2025,5,31),'DATA INPUT'!$F$3:$F$3000,"&lt;&gt;*Exclude*",'DATA INPUT'!$G$3:$G$3000,"&lt;&gt;*School service*"))/(COUNTIFS('DATA INPUT'!$A$3:$A$3000,"&gt;="&amp;DATE(2025,5,1),'DATA INPUT'!$A$3:$A$3000,"&lt;"&amp;DATE(2025,5,31),'DATA INPUT'!$F$3:$F$3000,"&lt;&gt;*Exclude*",'DATA INPUT'!$G$3:$G$3000,"&lt;&gt;*School service*",'DATA INPUT'!$D$3:$D$3000,"&lt;&gt;"&amp;"")),#N/A))</f>
        <v>#N/A</v>
      </c>
      <c r="AW103" s="117" t="e">
        <f t="shared" si="25"/>
        <v>#N/A</v>
      </c>
      <c r="AX103" s="117" t="e">
        <f>IF($L$2="Yes",IFERROR((SUMIFS('DATA INPUT'!$E$3:$E$3000,'DATA INPUT'!$B$3:$B$3000,'Report Tables'!AX$1,'DATA INPUT'!$A$3:$A$3000,"&gt;="&amp;DATE(2025,5,1),'DATA INPUT'!$A$3:$A$3000,"&lt;"&amp;DATE(2025,5,31)))/COUNTIFS('DATA INPUT'!$B$3:$B$3000,'Report Tables'!AX$1,'DATA INPUT'!$A$3:$A$3000,"&gt;="&amp;DATE(2025,5,1),'DATA INPUT'!$A$3:$A$3000,"&lt;"&amp;DATE(2025,5,31)),#N/A),IFERROR((SUMIFS('DATA INPUT'!$E$3:$E$3000,'DATA INPUT'!$B$3:$B$3000,'Report Tables'!AX$1,'DATA INPUT'!$A$3:$A$3000,"&gt;="&amp;DATE(2025,5,1),'DATA INPUT'!$A$3:$A$3000,"&lt;"&amp;DATE(2025,5,31),'DATA INPUT'!$F$3:$F$3000,"&lt;&gt;*Exclude*"))/(COUNTIFS('DATA INPUT'!$B$3:$B$3000,'Report Tables'!AX$1,'DATA INPUT'!$A$3:$A$3000,"&gt;="&amp;DATE(2025,5,1),'DATA INPUT'!$A$3:$A$3000,"&lt;"&amp;DATE(2025,5,31),'DATA INPUT'!$F$3:$F$3000,"&lt;&gt;*Exclude*")),#N/A))</f>
        <v>#N/A</v>
      </c>
      <c r="AY103" s="117" t="e">
        <f>IF($L$2="Yes",IFERROR((SUMIFS('DATA INPUT'!$D$3:$D$3000,'DATA INPUT'!$B$3:$B$3000,'Report Tables'!AX$1,'DATA INPUT'!$A$3:$A$3000,"&gt;="&amp;DATE(2025,5,1),'DATA INPUT'!$A$3:$A$3000,"&lt;"&amp;DATE(2025,5,31)))/COUNTIFS('DATA INPUT'!$B$3:$B$3000,'Report Tables'!AX$1,'DATA INPUT'!$A$3:$A$3000,"&gt;="&amp;DATE(2025,5,1),'DATA INPUT'!$A$3:$A$3000,"&lt;"&amp;DATE(2025,5,31)),#N/A),IFERROR((SUMIFS('DATA INPUT'!$D$3:$D$3000,'DATA INPUT'!$B$3:$B$3000,'Report Tables'!AX$1,'DATA INPUT'!$A$3:$A$3000,"&gt;="&amp;DATE(2025,5,1),'DATA INPUT'!$A$3:$A$3000,"&lt;"&amp;DATE(2025,5,31),'DATA INPUT'!$F$3:$F$3000,"&lt;&gt;*Exclude*"))/(COUNTIFS('DATA INPUT'!$B$3:$B$3000,'Report Tables'!AX$1,'DATA INPUT'!$A$3:$A$3000,"&gt;="&amp;DATE(2025,5,1),'DATA INPUT'!$A$3:$A$3000,"&lt;"&amp;DATE(2025,5,31),'DATA INPUT'!$F$3:$F$3000,"&lt;&gt;*Exclude*")),#N/A))</f>
        <v>#N/A</v>
      </c>
      <c r="AZ103" s="117" t="e">
        <f>IF($L$2="Yes",IFERROR((SUMIFS('DATA INPUT'!$C$3:$C$3000,'DATA INPUT'!$B$3:$B$3000,'Report Tables'!AX$1,'DATA INPUT'!$A$3:$A$3000,"&gt;="&amp;DATE(2025,5,1),'DATA INPUT'!$A$3:$A$3000,"&lt;"&amp;DATE(2025,5,31)))/COUNTIFS('DATA INPUT'!$B$3:$B$3000,'Report Tables'!AX$1,'DATA INPUT'!$A$3:$A$3000,"&gt;="&amp;DATE(2025,5,1),'DATA INPUT'!$A$3:$A$3000,"&lt;"&amp;DATE(2025,5,31)),#N/A),IFERROR((SUMIFS('DATA INPUT'!$C$3:$C$3000,'DATA INPUT'!$B$3:$B$3000,'Report Tables'!AX$1,'DATA INPUT'!$A$3:$A$3000,"&gt;="&amp;DATE(2025,5,1),'DATA INPUT'!$A$3:$A$3000,"&lt;"&amp;DATE(2025,5,31),'DATA INPUT'!$F$3:$F$3000,"&lt;&gt;*Exclude*"))/(COUNTIFS('DATA INPUT'!$B$3:$B$3000,'Report Tables'!AX$1,'DATA INPUT'!$A$3:$A$3000,"&gt;="&amp;DATE(2025,5,1),'DATA INPUT'!$A$3:$A$3000,"&lt;"&amp;DATE(2025,5,31),'DATA INPUT'!$F$3:$F$3000,"&lt;&gt;*Exclude*")),#N/A))</f>
        <v>#N/A</v>
      </c>
    </row>
    <row r="104" spans="25:52" x14ac:dyDescent="0.3">
      <c r="Y104" s="149"/>
      <c r="Z104" s="149" t="s">
        <v>17</v>
      </c>
      <c r="AA104" s="136" t="e">
        <f>IF($L$2="Yes",IF(SUMIFS('DATA INPUT'!$E$3:$E$3000,'DATA INPUT'!$B$3:$B$3000,'Report Tables'!AA$1,'DATA INPUT'!$A$3:$A$3000,"&gt;="&amp;DATE(2025,6,1),'DATA INPUT'!$A$3:$A$3000,"&lt;"&amp;DATE(2025,6,31))=0,#N/A,(SUMIFS('DATA INPUT'!$E$3:$E$3000,'DATA INPUT'!$B$3:$B$3000,'Report Tables'!AA$1,'DATA INPUT'!$A$3:$A$3000,"&gt;="&amp;DATE(2025,6,1),'DATA INPUT'!$A$3:$A$3000,"&lt;"&amp;DATE(2025,6,31)))),IF(SUMIFS('DATA INPUT'!$E$3:$E$3000,'DATA INPUT'!$B$3:$B$3000,'Report Tables'!AA$1,'DATA INPUT'!$A$3:$A$3000,"&gt;="&amp;DATE(2025,6,1),'DATA INPUT'!$A$3:$A$3000,"&lt;"&amp;DATE(2025,6,31),'DATA INPUT'!$F$3:$F$3000,"&lt;&gt;*Exclude*")=0,#N/A,(SUMIFS('DATA INPUT'!$E$3:$E$3000,'DATA INPUT'!$B$3:$B$3000,'Report Tables'!AA$1,'DATA INPUT'!$A$3:$A$3000,"&gt;="&amp;DATE(2025,6,1),'DATA INPUT'!$A$3:$A$3000,"&lt;"&amp;DATE(2025,6,31),'DATA INPUT'!$F$3:$F$3000,"&lt;&gt;*Exclude*"))))</f>
        <v>#N/A</v>
      </c>
      <c r="AB104" s="136" t="e">
        <f>IF($L$2="Yes",IF(SUMIFS('DATA INPUT'!$E$3:$E$3000,'DATA INPUT'!$B$3:$B$3000,'Report Tables'!AB$1,'DATA INPUT'!$A$3:$A$3000,"&gt;="&amp;DATE(2025,6,1),'DATA INPUT'!$A$3:$A$3000,"&lt;"&amp;DATE(2025,6,31))=0,#N/A,(SUMIFS('DATA INPUT'!$E$3:$E$3000,'DATA INPUT'!$B$3:$B$3000,'Report Tables'!AB$1,'DATA INPUT'!$A$3:$A$3000,"&gt;="&amp;DATE(2025,6,1),'DATA INPUT'!$A$3:$A$3000,"&lt;"&amp;DATE(2025,6,31)))),IF(SUMIFS('DATA INPUT'!$E$3:$E$3000,'DATA INPUT'!$B$3:$B$3000,'Report Tables'!AB$1,'DATA INPUT'!$A$3:$A$3000,"&gt;="&amp;DATE(2025,6,1),'DATA INPUT'!$A$3:$A$3000,"&lt;"&amp;DATE(2025,6,31),'DATA INPUT'!$F$3:$F$3000,"&lt;&gt;*Exclude*")=0,#N/A,(SUMIFS('DATA INPUT'!$E$3:$E$3000,'DATA INPUT'!$B$3:$B$3000,'Report Tables'!AB$1,'DATA INPUT'!$A$3:$A$3000,"&gt;="&amp;DATE(2025,6,1),'DATA INPUT'!$A$3:$A$3000,"&lt;"&amp;DATE(2025,6,31),'DATA INPUT'!$F$3:$F$3000,"&lt;&gt;*Exclude*"))))</f>
        <v>#N/A</v>
      </c>
      <c r="AC104" s="136" t="e">
        <f>IF($L$2="Yes",IF(SUMIFS('DATA INPUT'!$E$3:$E$3000,'DATA INPUT'!$B$3:$B$3000,'Report Tables'!AC$1,'DATA INPUT'!$A$3:$A$3000,"&gt;="&amp;DATE(2025,6,1),'DATA INPUT'!$A$3:$A$3000,"&lt;"&amp;DATE(2025,6,31))=0,#N/A,(SUMIFS('DATA INPUT'!$E$3:$E$3000,'DATA INPUT'!$B$3:$B$3000,'Report Tables'!AC$1,'DATA INPUT'!$A$3:$A$3000,"&gt;="&amp;DATE(2025,6,1),'DATA INPUT'!$A$3:$A$3000,"&lt;"&amp;DATE(2025,6,31)))),IF(SUMIFS('DATA INPUT'!$E$3:$E$3000,'DATA INPUT'!$B$3:$B$3000,'Report Tables'!AC$1,'DATA INPUT'!$A$3:$A$3000,"&gt;="&amp;DATE(2025,6,1),'DATA INPUT'!$A$3:$A$3000,"&lt;"&amp;DATE(2025,6,31),'DATA INPUT'!$F$3:$F$3000,"&lt;&gt;*Exclude*")=0,#N/A,(SUMIFS('DATA INPUT'!$E$3:$E$3000,'DATA INPUT'!$B$3:$B$3000,'Report Tables'!AC$1,'DATA INPUT'!$A$3:$A$3000,"&gt;="&amp;DATE(2025,6,1),'DATA INPUT'!$A$3:$A$3000,"&lt;"&amp;DATE(2025,6,31),'DATA INPUT'!$F$3:$F$3000,"&lt;&gt;*Exclude*"))))</f>
        <v>#N/A</v>
      </c>
      <c r="AD104" s="136" t="e">
        <f>IF($L$2="Yes",IF(SUMIFS('DATA INPUT'!$E$3:$E$3000,'DATA INPUT'!$B$3:$B$3000,'Report Tables'!AD$1,'DATA INPUT'!$A$3:$A$3000,"&gt;="&amp;DATE(2025,6,1),'DATA INPUT'!$A$3:$A$3000,"&lt;"&amp;DATE(2025,6,31))=0,#N/A,(SUMIFS('DATA INPUT'!$E$3:$E$3000,'DATA INPUT'!$B$3:$B$3000,'Report Tables'!AD$1,'DATA INPUT'!$A$3:$A$3000,"&gt;="&amp;DATE(2025,6,1),'DATA INPUT'!$A$3:$A$3000,"&lt;"&amp;DATE(2025,6,31)))),IF(SUMIFS('DATA INPUT'!$E$3:$E$3000,'DATA INPUT'!$B$3:$B$3000,'Report Tables'!AD$1,'DATA INPUT'!$A$3:$A$3000,"&gt;="&amp;DATE(2025,6,1),'DATA INPUT'!$A$3:$A$3000,"&lt;"&amp;DATE(2025,6,31),'DATA INPUT'!$F$3:$F$3000,"&lt;&gt;*Exclude*")=0,#N/A,(SUMIFS('DATA INPUT'!$E$3:$E$3000,'DATA INPUT'!$B$3:$B$3000,'Report Tables'!AD$1,'DATA INPUT'!$A$3:$A$3000,"&gt;="&amp;DATE(2025,6,1),'DATA INPUT'!$A$3:$A$3000,"&lt;"&amp;DATE(2025,6,31),'DATA INPUT'!$F$3:$F$3000,"&lt;&gt;*Exclude*"))))</f>
        <v>#N/A</v>
      </c>
      <c r="AE104" s="136" t="e">
        <f>IF($L$2="Yes",IF(SUMIFS('DATA INPUT'!$E$3:$E$3000,'DATA INPUT'!$B$3:$B$3000,'Report Tables'!AE$1,'DATA INPUT'!$A$3:$A$3000,"&gt;="&amp;DATE(2025,6,1),'DATA INPUT'!$A$3:$A$3000,"&lt;"&amp;DATE(2025,6,31))=0,#N/A,(SUMIFS('DATA INPUT'!$E$3:$E$3000,'DATA INPUT'!$B$3:$B$3000,'Report Tables'!AE$1,'DATA INPUT'!$A$3:$A$3000,"&gt;="&amp;DATE(2025,6,1),'DATA INPUT'!$A$3:$A$3000,"&lt;"&amp;DATE(2025,6,31)))),IF(SUMIFS('DATA INPUT'!$E$3:$E$3000,'DATA INPUT'!$B$3:$B$3000,'Report Tables'!AE$1,'DATA INPUT'!$A$3:$A$3000,"&gt;="&amp;DATE(2025,6,1),'DATA INPUT'!$A$3:$A$3000,"&lt;"&amp;DATE(2025,6,31),'DATA INPUT'!$F$3:$F$3000,"&lt;&gt;*Exclude*")=0,#N/A,(SUMIFS('DATA INPUT'!$E$3:$E$3000,'DATA INPUT'!$B$3:$B$3000,'Report Tables'!AE$1,'DATA INPUT'!$A$3:$A$3000,"&gt;="&amp;DATE(2025,6,1),'DATA INPUT'!$A$3:$A$3000,"&lt;"&amp;DATE(2025,6,31),'DATA INPUT'!$F$3:$F$3000,"&lt;&gt;*Exclude*"))))</f>
        <v>#N/A</v>
      </c>
      <c r="AF104" s="136" t="e">
        <f>IF($L$2="Yes",IF(SUMIFS('DATA INPUT'!$E$3:$E$3000,'DATA INPUT'!$B$3:$B$3000,'Report Tables'!AF$1,'DATA INPUT'!$A$3:$A$3000,"&gt;="&amp;DATE(2025,6,1),'DATA INPUT'!$A$3:$A$3000,"&lt;"&amp;DATE(2025,6,31))=0,#N/A,(SUMIFS('DATA INPUT'!$E$3:$E$3000,'DATA INPUT'!$B$3:$B$3000,'Report Tables'!AF$1,'DATA INPUT'!$A$3:$A$3000,"&gt;="&amp;DATE(2025,6,1),'DATA INPUT'!$A$3:$A$3000,"&lt;"&amp;DATE(2025,6,31)))),IF(SUMIFS('DATA INPUT'!$E$3:$E$3000,'DATA INPUT'!$B$3:$B$3000,'Report Tables'!AF$1,'DATA INPUT'!$A$3:$A$3000,"&gt;="&amp;DATE(2025,6,1),'DATA INPUT'!$A$3:$A$3000,"&lt;"&amp;DATE(2025,6,31),'DATA INPUT'!$F$3:$F$3000,"&lt;&gt;*Exclude*")=0,#N/A,(SUMIFS('DATA INPUT'!$E$3:$E$3000,'DATA INPUT'!$B$3:$B$3000,'Report Tables'!AF$1,'DATA INPUT'!$A$3:$A$3000,"&gt;="&amp;DATE(2025,6,1),'DATA INPUT'!$A$3:$A$3000,"&lt;"&amp;DATE(2025,6,31),'DATA INPUT'!$F$3:$F$3000,"&lt;&gt;*Exclude*"))))</f>
        <v>#N/A</v>
      </c>
      <c r="AG104" s="136" t="e">
        <f>IF($L$2="Yes",IF(SUMIFS('DATA INPUT'!$E$3:$E$3000,'DATA INPUT'!$B$3:$B$3000,'Report Tables'!AG$1,'DATA INPUT'!$A$3:$A$3000,"&gt;="&amp;DATE(2025,6,1),'DATA INPUT'!$A$3:$A$3000,"&lt;"&amp;DATE(2025,6,31))=0,#N/A,(SUMIFS('DATA INPUT'!$E$3:$E$3000,'DATA INPUT'!$B$3:$B$3000,'Report Tables'!AG$1,'DATA INPUT'!$A$3:$A$3000,"&gt;="&amp;DATE(2025,6,1),'DATA INPUT'!$A$3:$A$3000,"&lt;"&amp;DATE(2025,6,31)))),IF(SUMIFS('DATA INPUT'!$E$3:$E$3000,'DATA INPUT'!$B$3:$B$3000,'Report Tables'!AG$1,'DATA INPUT'!$A$3:$A$3000,"&gt;="&amp;DATE(2025,6,1),'DATA INPUT'!$A$3:$A$3000,"&lt;"&amp;DATE(2025,6,31),'DATA INPUT'!$F$3:$F$3000,"&lt;&gt;*Exclude*")=0,#N/A,(SUMIFS('DATA INPUT'!$E$3:$E$3000,'DATA INPUT'!$B$3:$B$3000,'Report Tables'!AG$1,'DATA INPUT'!$A$3:$A$3000,"&gt;="&amp;DATE(2025,6,1),'DATA INPUT'!$A$3:$A$3000,"&lt;"&amp;DATE(2025,6,31),'DATA INPUT'!$F$3:$F$3000,"&lt;&gt;*Exclude*"))))</f>
        <v>#N/A</v>
      </c>
      <c r="AH104" s="136" t="e">
        <f>IF($L$2="Yes",IF(SUMIFS('DATA INPUT'!$E$3:$E$3000,'DATA INPUT'!$B$3:$B$3000,'Report Tables'!AH$1,'DATA INPUT'!$A$3:$A$3000,"&gt;="&amp;DATE(2025,6,1),'DATA INPUT'!$A$3:$A$3000,"&lt;"&amp;DATE(2025,6,31))=0,#N/A,(SUMIFS('DATA INPUT'!$E$3:$E$3000,'DATA INPUT'!$B$3:$B$3000,'Report Tables'!AH$1,'DATA INPUT'!$A$3:$A$3000,"&gt;="&amp;DATE(2025,6,1),'DATA INPUT'!$A$3:$A$3000,"&lt;"&amp;DATE(2025,6,31)))),IF(SUMIFS('DATA INPUT'!$E$3:$E$3000,'DATA INPUT'!$B$3:$B$3000,'Report Tables'!AH$1,'DATA INPUT'!$A$3:$A$3000,"&gt;="&amp;DATE(2025,6,1),'DATA INPUT'!$A$3:$A$3000,"&lt;"&amp;DATE(2025,6,31),'DATA INPUT'!$F$3:$F$3000,"&lt;&gt;*Exclude*")=0,#N/A,(SUMIFS('DATA INPUT'!$E$3:$E$3000,'DATA INPUT'!$B$3:$B$3000,'Report Tables'!AH$1,'DATA INPUT'!$A$3:$A$3000,"&gt;="&amp;DATE(2025,6,1),'DATA INPUT'!$A$3:$A$3000,"&lt;"&amp;DATE(2025,6,31),'DATA INPUT'!$F$3:$F$3000,"&lt;&gt;*Exclude*"))))</f>
        <v>#N/A</v>
      </c>
      <c r="AI104" s="136" t="e">
        <f t="shared" si="23"/>
        <v>#N/A</v>
      </c>
      <c r="AJ104" s="136" t="e">
        <f>IF($L$2="Yes",IF(SUMIFS('DATA INPUT'!$D$3:$D$3000,'DATA INPUT'!$A$3:$A$3000,"&gt;="&amp;DATE(2025,6,1),'DATA INPUT'!$A$3:$A$3000,"&lt;"&amp;DATE(2025,6,31),'DATA INPUT'!$G$3:$G$3000,"&lt;&gt;*School service*")=0,#N/A,(SUMIFS('DATA INPUT'!$D$3:$D$3000,'DATA INPUT'!$A$3:$A$3000,"&gt;="&amp;DATE(2025,6,1),'DATA INPUT'!$A$3:$A$3000,"&lt;"&amp;DATE(2025,6,31),'DATA INPUT'!$G$3:$G$3000,"&lt;&gt;*School service*"))),IF(SUMIFS('DATA INPUT'!$D$3:$D$3000,'DATA INPUT'!$A$3:$A$3000,"&gt;="&amp;DATE(2025,6,1),'DATA INPUT'!$A$3:$A$3000,"&lt;"&amp;DATE(2025,6,31),'DATA INPUT'!$F$3:$F$3000,"&lt;&gt;*Exclude*",'DATA INPUT'!$G$3:$G$3000,"&lt;&gt;*School service*")=0,#N/A,(SUMIFS('DATA INPUT'!$D$3:$D$3000,'DATA INPUT'!$A$3:$A$3000,"&gt;="&amp;DATE(2025,6,1),'DATA INPUT'!$A$3:$A$3000,"&lt;"&amp;DATE(2025,6,31),'DATA INPUT'!$F$3:$F$3000,"&lt;&gt;*Exclude*",'DATA INPUT'!$G$3:$G$3000,"&lt;&gt;*School service*"))))</f>
        <v>#N/A</v>
      </c>
      <c r="AK104" s="136" t="e">
        <f>AI104-AJ104</f>
        <v>#N/A</v>
      </c>
      <c r="AM104" s="117" t="e">
        <f>IF($L$2="Yes",IFERROR((SUMIFS('DATA INPUT'!$E$3:$E$3000,'DATA INPUT'!$B$3:$B$3000,'Report Tables'!AM$1,'DATA INPUT'!$A$3:$A$3000,"&gt;="&amp;DATE(2025,6,1),'DATA INPUT'!$A$3:$A$3000,"&lt;"&amp;DATE(2025,6,31)))/COUNTIFS('DATA INPUT'!$B$3:$B$3000,'Report Tables'!AM$1,'DATA INPUT'!$A$3:$A$3000,"&gt;="&amp;DATE(2025,6,1),'DATA INPUT'!$A$3:$A$3000,"&lt;"&amp;DATE(2025,6,31)),#N/A),IFERROR((SUMIFS('DATA INPUT'!$E$3:$E$3000,'DATA INPUT'!$B$3:$B$3000,'Report Tables'!AM$1,'DATA INPUT'!$A$3:$A$3000,"&gt;="&amp;DATE(2025,6,1),'DATA INPUT'!$A$3:$A$3000,"&lt;"&amp;DATE(2025,6,31),'DATA INPUT'!$F$3:$F$3000,"&lt;&gt;*Exclude*"))/(COUNTIFS('DATA INPUT'!$B$3:$B$3000,'Report Tables'!AM$1,'DATA INPUT'!$A$3:$A$3000,"&gt;="&amp;DATE(2025,6,1),'DATA INPUT'!$A$3:$A$3000,"&lt;"&amp;DATE(2025,6,31),'DATA INPUT'!$F$3:$F$3000,"&lt;&gt;*Exclude*")),#N/A))</f>
        <v>#N/A</v>
      </c>
      <c r="AN104" s="117" t="e">
        <f>IF($L$2="Yes",IFERROR((SUMIFS('DATA INPUT'!$E$3:$E$3000,'DATA INPUT'!$B$3:$B$3000,'Report Tables'!AN$1,'DATA INPUT'!$A$3:$A$3000,"&gt;="&amp;DATE(2025,6,1),'DATA INPUT'!$A$3:$A$3000,"&lt;"&amp;DATE(2025,6,31)))/COUNTIFS('DATA INPUT'!$B$3:$B$3000,'Report Tables'!AN$1,'DATA INPUT'!$A$3:$A$3000,"&gt;="&amp;DATE(2025,6,1),'DATA INPUT'!$A$3:$A$3000,"&lt;"&amp;DATE(2025,6,31)),#N/A),IFERROR((SUMIFS('DATA INPUT'!$E$3:$E$3000,'DATA INPUT'!$B$3:$B$3000,'Report Tables'!AN$1,'DATA INPUT'!$A$3:$A$3000,"&gt;="&amp;DATE(2025,6,1),'DATA INPUT'!$A$3:$A$3000,"&lt;"&amp;DATE(2025,6,31),'DATA INPUT'!$F$3:$F$3000,"&lt;&gt;*Exclude*"))/(COUNTIFS('DATA INPUT'!$B$3:$B$3000,'Report Tables'!AN$1,'DATA INPUT'!$A$3:$A$3000,"&gt;="&amp;DATE(2025,6,1),'DATA INPUT'!$A$3:$A$3000,"&lt;"&amp;DATE(2025,6,31),'DATA INPUT'!$F$3:$F$3000,"&lt;&gt;*Exclude*")),#N/A))</f>
        <v>#N/A</v>
      </c>
      <c r="AO104" s="117" t="e">
        <f>IF($L$2="Yes",IFERROR((SUMIFS('DATA INPUT'!$E$3:$E$3000,'DATA INPUT'!$B$3:$B$3000,'Report Tables'!AO$1,'DATA INPUT'!$A$3:$A$3000,"&gt;="&amp;DATE(2025,6,1),'DATA INPUT'!$A$3:$A$3000,"&lt;"&amp;DATE(2025,6,31)))/COUNTIFS('DATA INPUT'!$B$3:$B$3000,'Report Tables'!AO$1,'DATA INPUT'!$A$3:$A$3000,"&gt;="&amp;DATE(2025,6,1),'DATA INPUT'!$A$3:$A$3000,"&lt;"&amp;DATE(2025,6,31)),#N/A),IFERROR((SUMIFS('DATA INPUT'!$E$3:$E$3000,'DATA INPUT'!$B$3:$B$3000,'Report Tables'!AO$1,'DATA INPUT'!$A$3:$A$3000,"&gt;="&amp;DATE(2025,6,1),'DATA INPUT'!$A$3:$A$3000,"&lt;"&amp;DATE(2025,6,31),'DATA INPUT'!$F$3:$F$3000,"&lt;&gt;*Exclude*"))/(COUNTIFS('DATA INPUT'!$B$3:$B$3000,'Report Tables'!AO$1,'DATA INPUT'!$A$3:$A$3000,"&gt;="&amp;DATE(2025,6,1),'DATA INPUT'!$A$3:$A$3000,"&lt;"&amp;DATE(2025,6,31),'DATA INPUT'!$F$3:$F$3000,"&lt;&gt;*Exclude*")),#N/A))</f>
        <v>#N/A</v>
      </c>
      <c r="AP104" s="117" t="e">
        <f>IF($L$2="Yes",IFERROR((SUMIFS('DATA INPUT'!$E$3:$E$3000,'DATA INPUT'!$B$3:$B$3000,'Report Tables'!AP$1,'DATA INPUT'!$A$3:$A$3000,"&gt;="&amp;DATE(2025,6,1),'DATA INPUT'!$A$3:$A$3000,"&lt;"&amp;DATE(2025,6,31)))/COUNTIFS('DATA INPUT'!$B$3:$B$3000,'Report Tables'!AP$1,'DATA INPUT'!$A$3:$A$3000,"&gt;="&amp;DATE(2025,6,1),'DATA INPUT'!$A$3:$A$3000,"&lt;"&amp;DATE(2025,6,31)),#N/A),IFERROR((SUMIFS('DATA INPUT'!$E$3:$E$3000,'DATA INPUT'!$B$3:$B$3000,'Report Tables'!AP$1,'DATA INPUT'!$A$3:$A$3000,"&gt;="&amp;DATE(2025,6,1),'DATA INPUT'!$A$3:$A$3000,"&lt;"&amp;DATE(2025,6,31),'DATA INPUT'!$F$3:$F$3000,"&lt;&gt;*Exclude*"))/(COUNTIFS('DATA INPUT'!$B$3:$B$3000,'Report Tables'!AP$1,'DATA INPUT'!$A$3:$A$3000,"&gt;="&amp;DATE(2025,6,1),'DATA INPUT'!$A$3:$A$3000,"&lt;"&amp;DATE(2025,6,31),'DATA INPUT'!$F$3:$F$3000,"&lt;&gt;*Exclude*")),#N/A))</f>
        <v>#N/A</v>
      </c>
      <c r="AQ104" s="117" t="e">
        <f>IF($L$2="Yes",IFERROR((SUMIFS('DATA INPUT'!$E$3:$E$3000,'DATA INPUT'!$B$3:$B$3000,'Report Tables'!AQ$1,'DATA INPUT'!$A$3:$A$3000,"&gt;="&amp;DATE(2025,6,1),'DATA INPUT'!$A$3:$A$3000,"&lt;"&amp;DATE(2025,6,31)))/COUNTIFS('DATA INPUT'!$B$3:$B$3000,'Report Tables'!AQ$1,'DATA INPUT'!$A$3:$A$3000,"&gt;="&amp;DATE(2025,6,1),'DATA INPUT'!$A$3:$A$3000,"&lt;"&amp;DATE(2025,6,31)),#N/A),IFERROR((SUMIFS('DATA INPUT'!$E$3:$E$3000,'DATA INPUT'!$B$3:$B$3000,'Report Tables'!AQ$1,'DATA INPUT'!$A$3:$A$3000,"&gt;="&amp;DATE(2025,6,1),'DATA INPUT'!$A$3:$A$3000,"&lt;"&amp;DATE(2025,6,31),'DATA INPUT'!$F$3:$F$3000,"&lt;&gt;*Exclude*"))/(COUNTIFS('DATA INPUT'!$B$3:$B$3000,'Report Tables'!AQ$1,'DATA INPUT'!$A$3:$A$3000,"&gt;="&amp;DATE(2025,6,1),'DATA INPUT'!$A$3:$A$3000,"&lt;"&amp;DATE(2025,6,31),'DATA INPUT'!$F$3:$F$3000,"&lt;&gt;*Exclude*")),#N/A))</f>
        <v>#N/A</v>
      </c>
      <c r="AR104" s="117" t="e">
        <f>IF($L$2="Yes",IFERROR((SUMIFS('DATA INPUT'!$E$3:$E$3000,'DATA INPUT'!$B$3:$B$3000,'Report Tables'!AR$1,'DATA INPUT'!$A$3:$A$3000,"&gt;="&amp;DATE(2025,6,1),'DATA INPUT'!$A$3:$A$3000,"&lt;"&amp;DATE(2025,6,31)))/COUNTIFS('DATA INPUT'!$B$3:$B$3000,'Report Tables'!AR$1,'DATA INPUT'!$A$3:$A$3000,"&gt;="&amp;DATE(2025,6,1),'DATA INPUT'!$A$3:$A$3000,"&lt;"&amp;DATE(2025,6,31)),#N/A),IFERROR((SUMIFS('DATA INPUT'!$E$3:$E$3000,'DATA INPUT'!$B$3:$B$3000,'Report Tables'!AR$1,'DATA INPUT'!$A$3:$A$3000,"&gt;="&amp;DATE(2025,6,1),'DATA INPUT'!$A$3:$A$3000,"&lt;"&amp;DATE(2025,6,31),'DATA INPUT'!$F$3:$F$3000,"&lt;&gt;*Exclude*"))/(COUNTIFS('DATA INPUT'!$B$3:$B$3000,'Report Tables'!AR$1,'DATA INPUT'!$A$3:$A$3000,"&gt;="&amp;DATE(2025,6,1),'DATA INPUT'!$A$3:$A$3000,"&lt;"&amp;DATE(2025,6,31),'DATA INPUT'!$F$3:$F$3000,"&lt;&gt;*Exclude*")),#N/A))</f>
        <v>#N/A</v>
      </c>
      <c r="AS104" s="117" t="e">
        <f>IF($L$2="Yes",IFERROR((SUMIFS('DATA INPUT'!$E$3:$E$3000,'DATA INPUT'!$B$3:$B$3000,'Report Tables'!AS$1,'DATA INPUT'!$A$3:$A$3000,"&gt;="&amp;DATE(2025,6,1),'DATA INPUT'!$A$3:$A$3000,"&lt;"&amp;DATE(2025,6,31)))/COUNTIFS('DATA INPUT'!$B$3:$B$3000,'Report Tables'!AS$1,'DATA INPUT'!$A$3:$A$3000,"&gt;="&amp;DATE(2025,6,1),'DATA INPUT'!$A$3:$A$3000,"&lt;"&amp;DATE(2025,6,31)),#N/A),IFERROR((SUMIFS('DATA INPUT'!$E$3:$E$3000,'DATA INPUT'!$B$3:$B$3000,'Report Tables'!AS$1,'DATA INPUT'!$A$3:$A$3000,"&gt;="&amp;DATE(2025,6,1),'DATA INPUT'!$A$3:$A$3000,"&lt;"&amp;DATE(2025,6,31),'DATA INPUT'!$F$3:$F$3000,"&lt;&gt;*Exclude*"))/(COUNTIFS('DATA INPUT'!$B$3:$B$3000,'Report Tables'!AS$1,'DATA INPUT'!$A$3:$A$3000,"&gt;="&amp;DATE(2025,6,1),'DATA INPUT'!$A$3:$A$3000,"&lt;"&amp;DATE(2025,6,31),'DATA INPUT'!$F$3:$F$3000,"&lt;&gt;*Exclude*")),#N/A))</f>
        <v>#N/A</v>
      </c>
      <c r="AT104" s="117" t="e">
        <f>IF($L$2="Yes",IFERROR((SUMIFS('DATA INPUT'!$E$3:$E$3000,'DATA INPUT'!$B$3:$B$3000,'Report Tables'!AT$1,'DATA INPUT'!$A$3:$A$3000,"&gt;="&amp;DATE(2025,6,1),'DATA INPUT'!$A$3:$A$3000,"&lt;"&amp;DATE(2025,6,31)))/COUNTIFS('DATA INPUT'!$B$3:$B$3000,'Report Tables'!AT$1,'DATA INPUT'!$A$3:$A$3000,"&gt;="&amp;DATE(2025,6,1),'DATA INPUT'!$A$3:$A$3000,"&lt;"&amp;DATE(2025,6,31)),#N/A),IFERROR((SUMIFS('DATA INPUT'!$E$3:$E$3000,'DATA INPUT'!$B$3:$B$3000,'Report Tables'!AT$1,'DATA INPUT'!$A$3:$A$3000,"&gt;="&amp;DATE(2025,6,1),'DATA INPUT'!$A$3:$A$3000,"&lt;"&amp;DATE(2025,6,31),'DATA INPUT'!$F$3:$F$3000,"&lt;&gt;*Exclude*"))/(COUNTIFS('DATA INPUT'!$B$3:$B$3000,'Report Tables'!AT$1,'DATA INPUT'!$A$3:$A$3000,"&gt;="&amp;DATE(2025,6,1),'DATA INPUT'!$A$3:$A$3000,"&lt;"&amp;DATE(2025,6,31),'DATA INPUT'!$F$3:$F$3000,"&lt;&gt;*Exclude*")),#N/A))</f>
        <v>#N/A</v>
      </c>
      <c r="AU104" s="117" t="e">
        <f t="shared" si="24"/>
        <v>#N/A</v>
      </c>
      <c r="AV104" s="117" t="e">
        <f>IF($L$2="Yes",IFERROR((SUMIFS('DATA INPUT'!$D$3:$D$3000,'DATA INPUT'!$A$3:$A$3000,"&gt;="&amp;DATE(2025,6,1),'DATA INPUT'!$A$3:$A$3000,"&lt;"&amp;DATE(2025,6,31),'DATA INPUT'!$G$3:$G$3000,"&lt;&gt;*School service*"))/COUNTIFS('DATA INPUT'!$A$3:$A$3000,"&gt;="&amp;DATE(2025,6,1),'DATA INPUT'!$A$3:$A$3000,"&lt;"&amp;DATE(2025,6,31),'DATA INPUT'!$G$3:$G$3000,"&lt;&gt;*School service*",'DATA INPUT'!$D$3:$D$3000,"&lt;&gt;"&amp;""),#N/A),IFERROR((SUMIFS('DATA INPUT'!$D$3:$D$3000,'DATA INPUT'!$A$3:$A$3000,"&gt;="&amp;DATE(2025,6,1),'DATA INPUT'!$A$3:$A$3000,"&lt;"&amp;DATE(2025,6,31),'DATA INPUT'!$F$3:$F$3000,"&lt;&gt;*Exclude*",'DATA INPUT'!$G$3:$G$3000,"&lt;&gt;*School service*"))/(COUNTIFS('DATA INPUT'!$A$3:$A$3000,"&gt;="&amp;DATE(2025,6,1),'DATA INPUT'!$A$3:$A$3000,"&lt;"&amp;DATE(2025,6,31),'DATA INPUT'!$F$3:$F$3000,"&lt;&gt;*Exclude*",'DATA INPUT'!$G$3:$G$3000,"&lt;&gt;*School service*",'DATA INPUT'!$D$3:$D$3000,"&lt;&gt;"&amp;"")),#N/A))</f>
        <v>#N/A</v>
      </c>
      <c r="AW104" s="117" t="e">
        <f t="shared" si="25"/>
        <v>#N/A</v>
      </c>
      <c r="AX104" s="117" t="e">
        <f>IF($L$2="Yes",IFERROR((SUMIFS('DATA INPUT'!$E$3:$E$3000,'DATA INPUT'!$B$3:$B$3000,'Report Tables'!AX$1,'DATA INPUT'!$A$3:$A$3000,"&gt;="&amp;DATE(2025,6,1),'DATA INPUT'!$A$3:$A$3000,"&lt;"&amp;DATE(2025,6,31)))/COUNTIFS('DATA INPUT'!$B$3:$B$3000,'Report Tables'!AX$1,'DATA INPUT'!$A$3:$A$3000,"&gt;="&amp;DATE(2025,6,1),'DATA INPUT'!$A$3:$A$3000,"&lt;"&amp;DATE(2025,6,31)),#N/A),IFERROR((SUMIFS('DATA INPUT'!$E$3:$E$3000,'DATA INPUT'!$B$3:$B$3000,'Report Tables'!AX$1,'DATA INPUT'!$A$3:$A$3000,"&gt;="&amp;DATE(2025,6,1),'DATA INPUT'!$A$3:$A$3000,"&lt;"&amp;DATE(2025,6,31),'DATA INPUT'!$F$3:$F$3000,"&lt;&gt;*Exclude*"))/(COUNTIFS('DATA INPUT'!$B$3:$B$3000,'Report Tables'!AX$1,'DATA INPUT'!$A$3:$A$3000,"&gt;="&amp;DATE(2025,6,1),'DATA INPUT'!$A$3:$A$3000,"&lt;"&amp;DATE(2025,6,31),'DATA INPUT'!$F$3:$F$3000,"&lt;&gt;*Exclude*")),#N/A))</f>
        <v>#N/A</v>
      </c>
      <c r="AY104" s="117" t="e">
        <f>IF($L$2="Yes",IFERROR((SUMIFS('DATA INPUT'!$D$3:$D$3000,'DATA INPUT'!$B$3:$B$3000,'Report Tables'!AX$1,'DATA INPUT'!$A$3:$A$3000,"&gt;="&amp;DATE(2025,6,1),'DATA INPUT'!$A$3:$A$3000,"&lt;"&amp;DATE(2025,6,31)))/COUNTIFS('DATA INPUT'!$B$3:$B$3000,'Report Tables'!AX$1,'DATA INPUT'!$A$3:$A$3000,"&gt;="&amp;DATE(2025,6,1),'DATA INPUT'!$A$3:$A$3000,"&lt;"&amp;DATE(2025,6,31)),#N/A),IFERROR((SUMIFS('DATA INPUT'!$D$3:$D$3000,'DATA INPUT'!$B$3:$B$3000,'Report Tables'!AX$1,'DATA INPUT'!$A$3:$A$3000,"&gt;="&amp;DATE(2025,6,1),'DATA INPUT'!$A$3:$A$3000,"&lt;"&amp;DATE(2025,6,31),'DATA INPUT'!$F$3:$F$3000,"&lt;&gt;*Exclude*"))/(COUNTIFS('DATA INPUT'!$B$3:$B$3000,'Report Tables'!AX$1,'DATA INPUT'!$A$3:$A$3000,"&gt;="&amp;DATE(2025,6,1),'DATA INPUT'!$A$3:$A$3000,"&lt;"&amp;DATE(2025,6,31),'DATA INPUT'!$F$3:$F$3000,"&lt;&gt;*Exclude*")),#N/A))</f>
        <v>#N/A</v>
      </c>
      <c r="AZ104" s="117" t="e">
        <f>IF($L$2="Yes",IFERROR((SUMIFS('DATA INPUT'!$C$3:$C$3000,'DATA INPUT'!$B$3:$B$3000,'Report Tables'!AX$1,'DATA INPUT'!$A$3:$A$3000,"&gt;="&amp;DATE(2025,6,1),'DATA INPUT'!$A$3:$A$3000,"&lt;"&amp;DATE(2025,6,31)))/COUNTIFS('DATA INPUT'!$B$3:$B$3000,'Report Tables'!AX$1,'DATA INPUT'!$A$3:$A$3000,"&gt;="&amp;DATE(2025,6,1),'DATA INPUT'!$A$3:$A$3000,"&lt;"&amp;DATE(2025,6,31)),#N/A),IFERROR((SUMIFS('DATA INPUT'!$C$3:$C$3000,'DATA INPUT'!$B$3:$B$3000,'Report Tables'!AX$1,'DATA INPUT'!$A$3:$A$3000,"&gt;="&amp;DATE(2025,6,1),'DATA INPUT'!$A$3:$A$3000,"&lt;"&amp;DATE(2025,6,31),'DATA INPUT'!$F$3:$F$3000,"&lt;&gt;*Exclude*"))/(COUNTIFS('DATA INPUT'!$B$3:$B$3000,'Report Tables'!AX$1,'DATA INPUT'!$A$3:$A$3000,"&gt;="&amp;DATE(2025,6,1),'DATA INPUT'!$A$3:$A$3000,"&lt;"&amp;DATE(2025,6,31),'DATA INPUT'!$F$3:$F$3000,"&lt;&gt;*Exclude*")),#N/A))</f>
        <v>#N/A</v>
      </c>
    </row>
    <row r="105" spans="25:52" x14ac:dyDescent="0.3">
      <c r="Y105" s="149"/>
      <c r="Z105" s="149" t="s">
        <v>18</v>
      </c>
      <c r="AA105" s="136" t="e">
        <f>IF($L$2="Yes",IF(SUMIFS('DATA INPUT'!$E$3:$E$3000,'DATA INPUT'!$B$3:$B$3000,'Report Tables'!AA$1,'DATA INPUT'!$A$3:$A$3000,"&gt;="&amp;DATE(2025,7,1),'DATA INPUT'!$A$3:$A$3000,"&lt;"&amp;DATE(2025,7,31))=0,#N/A,(SUMIFS('DATA INPUT'!$E$3:$E$3000,'DATA INPUT'!$B$3:$B$3000,'Report Tables'!AA$1,'DATA INPUT'!$A$3:$A$3000,"&gt;="&amp;DATE(2025,7,1),'DATA INPUT'!$A$3:$A$3000,"&lt;"&amp;DATE(2025,7,31)))),IF(SUMIFS('DATA INPUT'!$E$3:$E$3000,'DATA INPUT'!$B$3:$B$3000,'Report Tables'!AA$1,'DATA INPUT'!$A$3:$A$3000,"&gt;="&amp;DATE(2025,7,1),'DATA INPUT'!$A$3:$A$3000,"&lt;"&amp;DATE(2025,7,31),'DATA INPUT'!$F$3:$F$3000,"&lt;&gt;*Exclude*")=0,#N/A,(SUMIFS('DATA INPUT'!$E$3:$E$3000,'DATA INPUT'!$B$3:$B$3000,'Report Tables'!AA$1,'DATA INPUT'!$A$3:$A$3000,"&gt;="&amp;DATE(2025,7,1),'DATA INPUT'!$A$3:$A$3000,"&lt;"&amp;DATE(2025,7,31),'DATA INPUT'!$F$3:$F$3000,"&lt;&gt;*Exclude*"))))</f>
        <v>#N/A</v>
      </c>
      <c r="AB105" s="136" t="e">
        <f>IF($L$2="Yes",IF(SUMIFS('DATA INPUT'!$E$3:$E$3000,'DATA INPUT'!$B$3:$B$3000,'Report Tables'!AB$1,'DATA INPUT'!$A$3:$A$3000,"&gt;="&amp;DATE(2025,7,1),'DATA INPUT'!$A$3:$A$3000,"&lt;"&amp;DATE(2025,7,31))=0,#N/A,(SUMIFS('DATA INPUT'!$E$3:$E$3000,'DATA INPUT'!$B$3:$B$3000,'Report Tables'!AB$1,'DATA INPUT'!$A$3:$A$3000,"&gt;="&amp;DATE(2025,7,1),'DATA INPUT'!$A$3:$A$3000,"&lt;"&amp;DATE(2025,7,31)))),IF(SUMIFS('DATA INPUT'!$E$3:$E$3000,'DATA INPUT'!$B$3:$B$3000,'Report Tables'!AB$1,'DATA INPUT'!$A$3:$A$3000,"&gt;="&amp;DATE(2025,7,1),'DATA INPUT'!$A$3:$A$3000,"&lt;"&amp;DATE(2025,7,31),'DATA INPUT'!$F$3:$F$3000,"&lt;&gt;*Exclude*")=0,#N/A,(SUMIFS('DATA INPUT'!$E$3:$E$3000,'DATA INPUT'!$B$3:$B$3000,'Report Tables'!AB$1,'DATA INPUT'!$A$3:$A$3000,"&gt;="&amp;DATE(2025,7,1),'DATA INPUT'!$A$3:$A$3000,"&lt;"&amp;DATE(2025,7,31),'DATA INPUT'!$F$3:$F$3000,"&lt;&gt;*Exclude*"))))</f>
        <v>#N/A</v>
      </c>
      <c r="AC105" s="136" t="e">
        <f>IF($L$2="Yes",IF(SUMIFS('DATA INPUT'!$E$3:$E$3000,'DATA INPUT'!$B$3:$B$3000,'Report Tables'!AC$1,'DATA INPUT'!$A$3:$A$3000,"&gt;="&amp;DATE(2025,7,1),'DATA INPUT'!$A$3:$A$3000,"&lt;"&amp;DATE(2025,7,31))=0,#N/A,(SUMIFS('DATA INPUT'!$E$3:$E$3000,'DATA INPUT'!$B$3:$B$3000,'Report Tables'!AC$1,'DATA INPUT'!$A$3:$A$3000,"&gt;="&amp;DATE(2025,7,1),'DATA INPUT'!$A$3:$A$3000,"&lt;"&amp;DATE(2025,7,31)))),IF(SUMIFS('DATA INPUT'!$E$3:$E$3000,'DATA INPUT'!$B$3:$B$3000,'Report Tables'!AC$1,'DATA INPUT'!$A$3:$A$3000,"&gt;="&amp;DATE(2025,7,1),'DATA INPUT'!$A$3:$A$3000,"&lt;"&amp;DATE(2025,7,31),'DATA INPUT'!$F$3:$F$3000,"&lt;&gt;*Exclude*")=0,#N/A,(SUMIFS('DATA INPUT'!$E$3:$E$3000,'DATA INPUT'!$B$3:$B$3000,'Report Tables'!AC$1,'DATA INPUT'!$A$3:$A$3000,"&gt;="&amp;DATE(2025,7,1),'DATA INPUT'!$A$3:$A$3000,"&lt;"&amp;DATE(2025,7,31),'DATA INPUT'!$F$3:$F$3000,"&lt;&gt;*Exclude*"))))</f>
        <v>#N/A</v>
      </c>
      <c r="AD105" s="136" t="e">
        <f>IF($L$2="Yes",IF(SUMIFS('DATA INPUT'!$E$3:$E$3000,'DATA INPUT'!$B$3:$B$3000,'Report Tables'!AD$1,'DATA INPUT'!$A$3:$A$3000,"&gt;="&amp;DATE(2025,7,1),'DATA INPUT'!$A$3:$A$3000,"&lt;"&amp;DATE(2025,7,31))=0,#N/A,(SUMIFS('DATA INPUT'!$E$3:$E$3000,'DATA INPUT'!$B$3:$B$3000,'Report Tables'!AD$1,'DATA INPUT'!$A$3:$A$3000,"&gt;="&amp;DATE(2025,7,1),'DATA INPUT'!$A$3:$A$3000,"&lt;"&amp;DATE(2025,7,31)))),IF(SUMIFS('DATA INPUT'!$E$3:$E$3000,'DATA INPUT'!$B$3:$B$3000,'Report Tables'!AD$1,'DATA INPUT'!$A$3:$A$3000,"&gt;="&amp;DATE(2025,7,1),'DATA INPUT'!$A$3:$A$3000,"&lt;"&amp;DATE(2025,7,31),'DATA INPUT'!$F$3:$F$3000,"&lt;&gt;*Exclude*")=0,#N/A,(SUMIFS('DATA INPUT'!$E$3:$E$3000,'DATA INPUT'!$B$3:$B$3000,'Report Tables'!AD$1,'DATA INPUT'!$A$3:$A$3000,"&gt;="&amp;DATE(2025,7,1),'DATA INPUT'!$A$3:$A$3000,"&lt;"&amp;DATE(2025,7,31),'DATA INPUT'!$F$3:$F$3000,"&lt;&gt;*Exclude*"))))</f>
        <v>#N/A</v>
      </c>
      <c r="AE105" s="136" t="e">
        <f>IF($L$2="Yes",IF(SUMIFS('DATA INPUT'!$E$3:$E$3000,'DATA INPUT'!$B$3:$B$3000,'Report Tables'!AE$1,'DATA INPUT'!$A$3:$A$3000,"&gt;="&amp;DATE(2025,7,1),'DATA INPUT'!$A$3:$A$3000,"&lt;"&amp;DATE(2025,7,31))=0,#N/A,(SUMIFS('DATA INPUT'!$E$3:$E$3000,'DATA INPUT'!$B$3:$B$3000,'Report Tables'!AE$1,'DATA INPUT'!$A$3:$A$3000,"&gt;="&amp;DATE(2025,7,1),'DATA INPUT'!$A$3:$A$3000,"&lt;"&amp;DATE(2025,7,31)))),IF(SUMIFS('DATA INPUT'!$E$3:$E$3000,'DATA INPUT'!$B$3:$B$3000,'Report Tables'!AE$1,'DATA INPUT'!$A$3:$A$3000,"&gt;="&amp;DATE(2025,7,1),'DATA INPUT'!$A$3:$A$3000,"&lt;"&amp;DATE(2025,7,31),'DATA INPUT'!$F$3:$F$3000,"&lt;&gt;*Exclude*")=0,#N/A,(SUMIFS('DATA INPUT'!$E$3:$E$3000,'DATA INPUT'!$B$3:$B$3000,'Report Tables'!AE$1,'DATA INPUT'!$A$3:$A$3000,"&gt;="&amp;DATE(2025,7,1),'DATA INPUT'!$A$3:$A$3000,"&lt;"&amp;DATE(2025,7,31),'DATA INPUT'!$F$3:$F$3000,"&lt;&gt;*Exclude*"))))</f>
        <v>#N/A</v>
      </c>
      <c r="AF105" s="136" t="e">
        <f>IF($L$2="Yes",IF(SUMIFS('DATA INPUT'!$E$3:$E$3000,'DATA INPUT'!$B$3:$B$3000,'Report Tables'!AF$1,'DATA INPUT'!$A$3:$A$3000,"&gt;="&amp;DATE(2025,7,1),'DATA INPUT'!$A$3:$A$3000,"&lt;"&amp;DATE(2025,7,31))=0,#N/A,(SUMIFS('DATA INPUT'!$E$3:$E$3000,'DATA INPUT'!$B$3:$B$3000,'Report Tables'!AF$1,'DATA INPUT'!$A$3:$A$3000,"&gt;="&amp;DATE(2025,7,1),'DATA INPUT'!$A$3:$A$3000,"&lt;"&amp;DATE(2025,7,31)))),IF(SUMIFS('DATA INPUT'!$E$3:$E$3000,'DATA INPUT'!$B$3:$B$3000,'Report Tables'!AF$1,'DATA INPUT'!$A$3:$A$3000,"&gt;="&amp;DATE(2025,7,1),'DATA INPUT'!$A$3:$A$3000,"&lt;"&amp;DATE(2025,7,31),'DATA INPUT'!$F$3:$F$3000,"&lt;&gt;*Exclude*")=0,#N/A,(SUMIFS('DATA INPUT'!$E$3:$E$3000,'DATA INPUT'!$B$3:$B$3000,'Report Tables'!AF$1,'DATA INPUT'!$A$3:$A$3000,"&gt;="&amp;DATE(2025,7,1),'DATA INPUT'!$A$3:$A$3000,"&lt;"&amp;DATE(2025,7,31),'DATA INPUT'!$F$3:$F$3000,"&lt;&gt;*Exclude*"))))</f>
        <v>#N/A</v>
      </c>
      <c r="AG105" s="136" t="e">
        <f>IF($L$2="Yes",IF(SUMIFS('DATA INPUT'!$E$3:$E$3000,'DATA INPUT'!$B$3:$B$3000,'Report Tables'!AG$1,'DATA INPUT'!$A$3:$A$3000,"&gt;="&amp;DATE(2025,7,1),'DATA INPUT'!$A$3:$A$3000,"&lt;"&amp;DATE(2025,7,31))=0,#N/A,(SUMIFS('DATA INPUT'!$E$3:$E$3000,'DATA INPUT'!$B$3:$B$3000,'Report Tables'!AG$1,'DATA INPUT'!$A$3:$A$3000,"&gt;="&amp;DATE(2025,7,1),'DATA INPUT'!$A$3:$A$3000,"&lt;"&amp;DATE(2025,7,31)))),IF(SUMIFS('DATA INPUT'!$E$3:$E$3000,'DATA INPUT'!$B$3:$B$3000,'Report Tables'!AG$1,'DATA INPUT'!$A$3:$A$3000,"&gt;="&amp;DATE(2025,7,1),'DATA INPUT'!$A$3:$A$3000,"&lt;"&amp;DATE(2025,7,31),'DATA INPUT'!$F$3:$F$3000,"&lt;&gt;*Exclude*")=0,#N/A,(SUMIFS('DATA INPUT'!$E$3:$E$3000,'DATA INPUT'!$B$3:$B$3000,'Report Tables'!AG$1,'DATA INPUT'!$A$3:$A$3000,"&gt;="&amp;DATE(2025,7,1),'DATA INPUT'!$A$3:$A$3000,"&lt;"&amp;DATE(2025,7,31),'DATA INPUT'!$F$3:$F$3000,"&lt;&gt;*Exclude*"))))</f>
        <v>#N/A</v>
      </c>
      <c r="AH105" s="136" t="e">
        <f>IF($L$2="Yes",IF(SUMIFS('DATA INPUT'!$E$3:$E$3000,'DATA INPUT'!$B$3:$B$3000,'Report Tables'!AH$1,'DATA INPUT'!$A$3:$A$3000,"&gt;="&amp;DATE(2025,7,1),'DATA INPUT'!$A$3:$A$3000,"&lt;"&amp;DATE(2025,7,31))=0,#N/A,(SUMIFS('DATA INPUT'!$E$3:$E$3000,'DATA INPUT'!$B$3:$B$3000,'Report Tables'!AH$1,'DATA INPUT'!$A$3:$A$3000,"&gt;="&amp;DATE(2025,7,1),'DATA INPUT'!$A$3:$A$3000,"&lt;"&amp;DATE(2025,7,31)))),IF(SUMIFS('DATA INPUT'!$E$3:$E$3000,'DATA INPUT'!$B$3:$B$3000,'Report Tables'!AH$1,'DATA INPUT'!$A$3:$A$3000,"&gt;="&amp;DATE(2025,7,1),'DATA INPUT'!$A$3:$A$3000,"&lt;"&amp;DATE(2025,7,31),'DATA INPUT'!$F$3:$F$3000,"&lt;&gt;*Exclude*")=0,#N/A,(SUMIFS('DATA INPUT'!$E$3:$E$3000,'DATA INPUT'!$B$3:$B$3000,'Report Tables'!AH$1,'DATA INPUT'!$A$3:$A$3000,"&gt;="&amp;DATE(2025,7,1),'DATA INPUT'!$A$3:$A$3000,"&lt;"&amp;DATE(2025,7,31),'DATA INPUT'!$F$3:$F$3000,"&lt;&gt;*Exclude*"))))</f>
        <v>#N/A</v>
      </c>
      <c r="AI105" s="136" t="e">
        <f t="shared" si="23"/>
        <v>#N/A</v>
      </c>
      <c r="AJ105" s="136" t="e">
        <f>IF($L$2="Yes",IF(SUMIFS('DATA INPUT'!$D$3:$D$3000,'DATA INPUT'!$A$3:$A$3000,"&gt;="&amp;DATE(2025,7,1),'DATA INPUT'!$A$3:$A$3000,"&lt;"&amp;DATE(2025,7,31),'DATA INPUT'!$G$3:$G$3000,"&lt;&gt;*School service*")=0,#N/A,(SUMIFS('DATA INPUT'!$D$3:$D$3000,'DATA INPUT'!$A$3:$A$3000,"&gt;="&amp;DATE(2025,7,1),'DATA INPUT'!$A$3:$A$3000,"&lt;"&amp;DATE(2025,7,31),'DATA INPUT'!$G$3:$G$3000,"&lt;&gt;*School service*"))),IF(SUMIFS('DATA INPUT'!$D$3:$D$3000,'DATA INPUT'!$A$3:$A$3000,"&gt;="&amp;DATE(2025,7,1),'DATA INPUT'!$A$3:$A$3000,"&lt;"&amp;DATE(2025,7,31),'DATA INPUT'!$F$3:$F$3000,"&lt;&gt;*Exclude*",'DATA INPUT'!$G$3:$G$3000,"&lt;&gt;*School service*")=0,#N/A,(SUMIFS('DATA INPUT'!$D$3:$D$3000,'DATA INPUT'!$A$3:$A$3000,"&gt;="&amp;DATE(2025,7,1),'DATA INPUT'!$A$3:$A$3000,"&lt;"&amp;DATE(2025,7,31),'DATA INPUT'!$F$3:$F$3000,"&lt;&gt;*Exclude*",'DATA INPUT'!$G$3:$G$3000,"&lt;&gt;*School service*"))))</f>
        <v>#N/A</v>
      </c>
      <c r="AK105" s="136" t="e">
        <f>AI105-AJ105</f>
        <v>#N/A</v>
      </c>
      <c r="AM105" s="117" t="e">
        <f>IF($L$2="Yes",IFERROR((SUMIFS('DATA INPUT'!$E$3:$E$3000,'DATA INPUT'!$B$3:$B$3000,'Report Tables'!AM$1,'DATA INPUT'!$A$3:$A$3000,"&gt;="&amp;DATE(2025,7,1),'DATA INPUT'!$A$3:$A$3000,"&lt;"&amp;DATE(2025,7,31)))/COUNTIFS('DATA INPUT'!$B$3:$B$3000,'Report Tables'!AM$1,'DATA INPUT'!$A$3:$A$3000,"&gt;="&amp;DATE(2025,7,1),'DATA INPUT'!$A$3:$A$3000,"&lt;"&amp;DATE(2025,7,31)),#N/A),IFERROR((SUMIFS('DATA INPUT'!$E$3:$E$3000,'DATA INPUT'!$B$3:$B$3000,'Report Tables'!AM$1,'DATA INPUT'!$A$3:$A$3000,"&gt;="&amp;DATE(2025,7,1),'DATA INPUT'!$A$3:$A$3000,"&lt;"&amp;DATE(2025,7,31),'DATA INPUT'!$F$3:$F$3000,"&lt;&gt;*Exclude*"))/(COUNTIFS('DATA INPUT'!$B$3:$B$3000,'Report Tables'!AM$1,'DATA INPUT'!$A$3:$A$3000,"&gt;="&amp;DATE(2025,7,1),'DATA INPUT'!$A$3:$A$3000,"&lt;"&amp;DATE(2025,7,31),'DATA INPUT'!$F$3:$F$3000,"&lt;&gt;*Exclude*")),#N/A))</f>
        <v>#N/A</v>
      </c>
      <c r="AN105" s="117" t="e">
        <f>IF($L$2="Yes",IFERROR((SUMIFS('DATA INPUT'!$E$3:$E$3000,'DATA INPUT'!$B$3:$B$3000,'Report Tables'!AN$1,'DATA INPUT'!$A$3:$A$3000,"&gt;="&amp;DATE(2025,7,1),'DATA INPUT'!$A$3:$A$3000,"&lt;"&amp;DATE(2025,7,31)))/COUNTIFS('DATA INPUT'!$B$3:$B$3000,'Report Tables'!AN$1,'DATA INPUT'!$A$3:$A$3000,"&gt;="&amp;DATE(2025,7,1),'DATA INPUT'!$A$3:$A$3000,"&lt;"&amp;DATE(2025,7,31)),#N/A),IFERROR((SUMIFS('DATA INPUT'!$E$3:$E$3000,'DATA INPUT'!$B$3:$B$3000,'Report Tables'!AN$1,'DATA INPUT'!$A$3:$A$3000,"&gt;="&amp;DATE(2025,7,1),'DATA INPUT'!$A$3:$A$3000,"&lt;"&amp;DATE(2025,7,31),'DATA INPUT'!$F$3:$F$3000,"&lt;&gt;*Exclude*"))/(COUNTIFS('DATA INPUT'!$B$3:$B$3000,'Report Tables'!AN$1,'DATA INPUT'!$A$3:$A$3000,"&gt;="&amp;DATE(2025,7,1),'DATA INPUT'!$A$3:$A$3000,"&lt;"&amp;DATE(2025,7,31),'DATA INPUT'!$F$3:$F$3000,"&lt;&gt;*Exclude*")),#N/A))</f>
        <v>#N/A</v>
      </c>
      <c r="AO105" s="117" t="e">
        <f>IF($L$2="Yes",IFERROR((SUMIFS('DATA INPUT'!$E$3:$E$3000,'DATA INPUT'!$B$3:$B$3000,'Report Tables'!AO$1,'DATA INPUT'!$A$3:$A$3000,"&gt;="&amp;DATE(2025,7,1),'DATA INPUT'!$A$3:$A$3000,"&lt;"&amp;DATE(2025,7,31)))/COUNTIFS('DATA INPUT'!$B$3:$B$3000,'Report Tables'!AO$1,'DATA INPUT'!$A$3:$A$3000,"&gt;="&amp;DATE(2025,7,1),'DATA INPUT'!$A$3:$A$3000,"&lt;"&amp;DATE(2025,7,31)),#N/A),IFERROR((SUMIFS('DATA INPUT'!$E$3:$E$3000,'DATA INPUT'!$B$3:$B$3000,'Report Tables'!AO$1,'DATA INPUT'!$A$3:$A$3000,"&gt;="&amp;DATE(2025,7,1),'DATA INPUT'!$A$3:$A$3000,"&lt;"&amp;DATE(2025,7,31),'DATA INPUT'!$F$3:$F$3000,"&lt;&gt;*Exclude*"))/(COUNTIFS('DATA INPUT'!$B$3:$B$3000,'Report Tables'!AO$1,'DATA INPUT'!$A$3:$A$3000,"&gt;="&amp;DATE(2025,7,1),'DATA INPUT'!$A$3:$A$3000,"&lt;"&amp;DATE(2025,7,31),'DATA INPUT'!$F$3:$F$3000,"&lt;&gt;*Exclude*")),#N/A))</f>
        <v>#N/A</v>
      </c>
      <c r="AP105" s="117" t="e">
        <f>IF($L$2="Yes",IFERROR((SUMIFS('DATA INPUT'!$E$3:$E$3000,'DATA INPUT'!$B$3:$B$3000,'Report Tables'!AP$1,'DATA INPUT'!$A$3:$A$3000,"&gt;="&amp;DATE(2025,7,1),'DATA INPUT'!$A$3:$A$3000,"&lt;"&amp;DATE(2025,7,31)))/COUNTIFS('DATA INPUT'!$B$3:$B$3000,'Report Tables'!AP$1,'DATA INPUT'!$A$3:$A$3000,"&gt;="&amp;DATE(2025,7,1),'DATA INPUT'!$A$3:$A$3000,"&lt;"&amp;DATE(2025,7,31)),#N/A),IFERROR((SUMIFS('DATA INPUT'!$E$3:$E$3000,'DATA INPUT'!$B$3:$B$3000,'Report Tables'!AP$1,'DATA INPUT'!$A$3:$A$3000,"&gt;="&amp;DATE(2025,7,1),'DATA INPUT'!$A$3:$A$3000,"&lt;"&amp;DATE(2025,7,31),'DATA INPUT'!$F$3:$F$3000,"&lt;&gt;*Exclude*"))/(COUNTIFS('DATA INPUT'!$B$3:$B$3000,'Report Tables'!AP$1,'DATA INPUT'!$A$3:$A$3000,"&gt;="&amp;DATE(2025,7,1),'DATA INPUT'!$A$3:$A$3000,"&lt;"&amp;DATE(2025,7,31),'DATA INPUT'!$F$3:$F$3000,"&lt;&gt;*Exclude*")),#N/A))</f>
        <v>#N/A</v>
      </c>
      <c r="AQ105" s="117" t="e">
        <f>IF($L$2="Yes",IFERROR((SUMIFS('DATA INPUT'!$E$3:$E$3000,'DATA INPUT'!$B$3:$B$3000,'Report Tables'!AQ$1,'DATA INPUT'!$A$3:$A$3000,"&gt;="&amp;DATE(2025,7,1),'DATA INPUT'!$A$3:$A$3000,"&lt;"&amp;DATE(2025,7,31)))/COUNTIFS('DATA INPUT'!$B$3:$B$3000,'Report Tables'!AQ$1,'DATA INPUT'!$A$3:$A$3000,"&gt;="&amp;DATE(2025,7,1),'DATA INPUT'!$A$3:$A$3000,"&lt;"&amp;DATE(2025,7,31)),#N/A),IFERROR((SUMIFS('DATA INPUT'!$E$3:$E$3000,'DATA INPUT'!$B$3:$B$3000,'Report Tables'!AQ$1,'DATA INPUT'!$A$3:$A$3000,"&gt;="&amp;DATE(2025,7,1),'DATA INPUT'!$A$3:$A$3000,"&lt;"&amp;DATE(2025,7,31),'DATA INPUT'!$F$3:$F$3000,"&lt;&gt;*Exclude*"))/(COUNTIFS('DATA INPUT'!$B$3:$B$3000,'Report Tables'!AQ$1,'DATA INPUT'!$A$3:$A$3000,"&gt;="&amp;DATE(2025,7,1),'DATA INPUT'!$A$3:$A$3000,"&lt;"&amp;DATE(2025,7,31),'DATA INPUT'!$F$3:$F$3000,"&lt;&gt;*Exclude*")),#N/A))</f>
        <v>#N/A</v>
      </c>
      <c r="AR105" s="117" t="e">
        <f>IF($L$2="Yes",IFERROR((SUMIFS('DATA INPUT'!$E$3:$E$3000,'DATA INPUT'!$B$3:$B$3000,'Report Tables'!AR$1,'DATA INPUT'!$A$3:$A$3000,"&gt;="&amp;DATE(2025,7,1),'DATA INPUT'!$A$3:$A$3000,"&lt;"&amp;DATE(2025,7,31)))/COUNTIFS('DATA INPUT'!$B$3:$B$3000,'Report Tables'!AR$1,'DATA INPUT'!$A$3:$A$3000,"&gt;="&amp;DATE(2025,7,1),'DATA INPUT'!$A$3:$A$3000,"&lt;"&amp;DATE(2025,7,31)),#N/A),IFERROR((SUMIFS('DATA INPUT'!$E$3:$E$3000,'DATA INPUT'!$B$3:$B$3000,'Report Tables'!AR$1,'DATA INPUT'!$A$3:$A$3000,"&gt;="&amp;DATE(2025,7,1),'DATA INPUT'!$A$3:$A$3000,"&lt;"&amp;DATE(2025,7,31),'DATA INPUT'!$F$3:$F$3000,"&lt;&gt;*Exclude*"))/(COUNTIFS('DATA INPUT'!$B$3:$B$3000,'Report Tables'!AR$1,'DATA INPUT'!$A$3:$A$3000,"&gt;="&amp;DATE(2025,7,1),'DATA INPUT'!$A$3:$A$3000,"&lt;"&amp;DATE(2025,7,31),'DATA INPUT'!$F$3:$F$3000,"&lt;&gt;*Exclude*")),#N/A))</f>
        <v>#N/A</v>
      </c>
      <c r="AS105" s="117" t="e">
        <f>IF($L$2="Yes",IFERROR((SUMIFS('DATA INPUT'!$E$3:$E$3000,'DATA INPUT'!$B$3:$B$3000,'Report Tables'!AS$1,'DATA INPUT'!$A$3:$A$3000,"&gt;="&amp;DATE(2025,7,1),'DATA INPUT'!$A$3:$A$3000,"&lt;"&amp;DATE(2025,7,31)))/COUNTIFS('DATA INPUT'!$B$3:$B$3000,'Report Tables'!AS$1,'DATA INPUT'!$A$3:$A$3000,"&gt;="&amp;DATE(2025,7,1),'DATA INPUT'!$A$3:$A$3000,"&lt;"&amp;DATE(2025,7,31)),#N/A),IFERROR((SUMIFS('DATA INPUT'!$E$3:$E$3000,'DATA INPUT'!$B$3:$B$3000,'Report Tables'!AS$1,'DATA INPUT'!$A$3:$A$3000,"&gt;="&amp;DATE(2025,7,1),'DATA INPUT'!$A$3:$A$3000,"&lt;"&amp;DATE(2025,7,31),'DATA INPUT'!$F$3:$F$3000,"&lt;&gt;*Exclude*"))/(COUNTIFS('DATA INPUT'!$B$3:$B$3000,'Report Tables'!AS$1,'DATA INPUT'!$A$3:$A$3000,"&gt;="&amp;DATE(2025,7,1),'DATA INPUT'!$A$3:$A$3000,"&lt;"&amp;DATE(2025,7,31),'DATA INPUT'!$F$3:$F$3000,"&lt;&gt;*Exclude*")),#N/A))</f>
        <v>#N/A</v>
      </c>
      <c r="AT105" s="117" t="e">
        <f>IF($L$2="Yes",IFERROR((SUMIFS('DATA INPUT'!$E$3:$E$3000,'DATA INPUT'!$B$3:$B$3000,'Report Tables'!AT$1,'DATA INPUT'!$A$3:$A$3000,"&gt;="&amp;DATE(2025,7,1),'DATA INPUT'!$A$3:$A$3000,"&lt;"&amp;DATE(2025,7,31)))/COUNTIFS('DATA INPUT'!$B$3:$B$3000,'Report Tables'!AT$1,'DATA INPUT'!$A$3:$A$3000,"&gt;="&amp;DATE(2025,7,1),'DATA INPUT'!$A$3:$A$3000,"&lt;"&amp;DATE(2025,7,31)),#N/A),IFERROR((SUMIFS('DATA INPUT'!$E$3:$E$3000,'DATA INPUT'!$B$3:$B$3000,'Report Tables'!AT$1,'DATA INPUT'!$A$3:$A$3000,"&gt;="&amp;DATE(2025,7,1),'DATA INPUT'!$A$3:$A$3000,"&lt;"&amp;DATE(2025,7,31),'DATA INPUT'!$F$3:$F$3000,"&lt;&gt;*Exclude*"))/(COUNTIFS('DATA INPUT'!$B$3:$B$3000,'Report Tables'!AT$1,'DATA INPUT'!$A$3:$A$3000,"&gt;="&amp;DATE(2025,7,1),'DATA INPUT'!$A$3:$A$3000,"&lt;"&amp;DATE(2025,7,31),'DATA INPUT'!$F$3:$F$3000,"&lt;&gt;*Exclude*")),#N/A))</f>
        <v>#N/A</v>
      </c>
      <c r="AU105" s="117" t="e">
        <f t="shared" si="24"/>
        <v>#N/A</v>
      </c>
      <c r="AV105" s="117" t="e">
        <f>IF($L$2="Yes",IFERROR((SUMIFS('DATA INPUT'!$D$3:$D$3000,'DATA INPUT'!$A$3:$A$3000,"&gt;="&amp;DATE(2025,7,1),'DATA INPUT'!$A$3:$A$3000,"&lt;"&amp;DATE(2025,7,31),'DATA INPUT'!$G$3:$G$3000,"&lt;&gt;*School service*"))/COUNTIFS('DATA INPUT'!$A$3:$A$3000,"&gt;="&amp;DATE(2025,7,1),'DATA INPUT'!$A$3:$A$3000,"&lt;"&amp;DATE(2025,7,31),'DATA INPUT'!$G$3:$G$3000,"&lt;&gt;*School service*",'DATA INPUT'!$D$3:$D$3000,"&lt;&gt;"&amp;""),#N/A),IFERROR((SUMIFS('DATA INPUT'!$D$3:$D$3000,'DATA INPUT'!$A$3:$A$3000,"&gt;="&amp;DATE(2025,7,1),'DATA INPUT'!$A$3:$A$3000,"&lt;"&amp;DATE(2025,7,31),'DATA INPUT'!$F$3:$F$3000,"&lt;&gt;*Exclude*",'DATA INPUT'!$G$3:$G$3000,"&lt;&gt;*School service*"))/(COUNTIFS('DATA INPUT'!$A$3:$A$3000,"&gt;="&amp;DATE(2025,7,1),'DATA INPUT'!$A$3:$A$3000,"&lt;"&amp;DATE(2025,7,31),'DATA INPUT'!$F$3:$F$3000,"&lt;&gt;*Exclude*",'DATA INPUT'!$G$3:$G$3000,"&lt;&gt;*School service*",'DATA INPUT'!$D$3:$D$3000,"&lt;&gt;"&amp;"")),#N/A))</f>
        <v>#N/A</v>
      </c>
      <c r="AW105" s="117" t="e">
        <f t="shared" si="25"/>
        <v>#N/A</v>
      </c>
      <c r="AX105" s="117" t="e">
        <f>IF($L$2="Yes",IFERROR((SUMIFS('DATA INPUT'!$E$3:$E$3000,'DATA INPUT'!$B$3:$B$3000,'Report Tables'!AX$1,'DATA INPUT'!$A$3:$A$3000,"&gt;="&amp;DATE(2025,7,1),'DATA INPUT'!$A$3:$A$3000,"&lt;"&amp;DATE(2025,7,31)))/COUNTIFS('DATA INPUT'!$B$3:$B$3000,'Report Tables'!AX$1,'DATA INPUT'!$A$3:$A$3000,"&gt;="&amp;DATE(2025,7,1),'DATA INPUT'!$A$3:$A$3000,"&lt;"&amp;DATE(2025,7,31)),#N/A),IFERROR((SUMIFS('DATA INPUT'!$E$3:$E$3000,'DATA INPUT'!$B$3:$B$3000,'Report Tables'!AX$1,'DATA INPUT'!$A$3:$A$3000,"&gt;="&amp;DATE(2025,7,1),'DATA INPUT'!$A$3:$A$3000,"&lt;"&amp;DATE(2025,7,31),'DATA INPUT'!$F$3:$F$3000,"&lt;&gt;*Exclude*"))/(COUNTIFS('DATA INPUT'!$B$3:$B$3000,'Report Tables'!AX$1,'DATA INPUT'!$A$3:$A$3000,"&gt;="&amp;DATE(2025,7,1),'DATA INPUT'!$A$3:$A$3000,"&lt;"&amp;DATE(2025,7,31),'DATA INPUT'!$F$3:$F$3000,"&lt;&gt;*Exclude*")),#N/A))</f>
        <v>#N/A</v>
      </c>
      <c r="AY105" s="117" t="e">
        <f>IF($L$2="Yes",IFERROR((SUMIFS('DATA INPUT'!$D$3:$D$3000,'DATA INPUT'!$B$3:$B$3000,'Report Tables'!AX$1,'DATA INPUT'!$A$3:$A$3000,"&gt;="&amp;DATE(2025,7,1),'DATA INPUT'!$A$3:$A$3000,"&lt;"&amp;DATE(2025,7,31)))/COUNTIFS('DATA INPUT'!$B$3:$B$3000,'Report Tables'!AX$1,'DATA INPUT'!$A$3:$A$3000,"&gt;="&amp;DATE(2025,7,1),'DATA INPUT'!$A$3:$A$3000,"&lt;"&amp;DATE(2025,7,31)),#N/A),IFERROR((SUMIFS('DATA INPUT'!$D$3:$D$3000,'DATA INPUT'!$B$3:$B$3000,'Report Tables'!AX$1,'DATA INPUT'!$A$3:$A$3000,"&gt;="&amp;DATE(2025,7,1),'DATA INPUT'!$A$3:$A$3000,"&lt;"&amp;DATE(2025,7,31),'DATA INPUT'!$F$3:$F$3000,"&lt;&gt;*Exclude*"))/(COUNTIFS('DATA INPUT'!$B$3:$B$3000,'Report Tables'!AX$1,'DATA INPUT'!$A$3:$A$3000,"&gt;="&amp;DATE(2025,7,1),'DATA INPUT'!$A$3:$A$3000,"&lt;"&amp;DATE(2025,7,31),'DATA INPUT'!$F$3:$F$3000,"&lt;&gt;*Exclude*")),#N/A))</f>
        <v>#N/A</v>
      </c>
      <c r="AZ105" s="117" t="e">
        <f>IF($L$2="Yes",IFERROR((SUMIFS('DATA INPUT'!$C$3:$C$3000,'DATA INPUT'!$B$3:$B$3000,'Report Tables'!AX$1,'DATA INPUT'!$A$3:$A$3000,"&gt;="&amp;DATE(2025,7,1),'DATA INPUT'!$A$3:$A$3000,"&lt;"&amp;DATE(2025,7,31)))/COUNTIFS('DATA INPUT'!$B$3:$B$3000,'Report Tables'!AX$1,'DATA INPUT'!$A$3:$A$3000,"&gt;="&amp;DATE(2025,7,1),'DATA INPUT'!$A$3:$A$3000,"&lt;"&amp;DATE(2025,7,31)),#N/A),IFERROR((SUMIFS('DATA INPUT'!$C$3:$C$3000,'DATA INPUT'!$B$3:$B$3000,'Report Tables'!AX$1,'DATA INPUT'!$A$3:$A$3000,"&gt;="&amp;DATE(2025,7,1),'DATA INPUT'!$A$3:$A$3000,"&lt;"&amp;DATE(2025,7,31),'DATA INPUT'!$F$3:$F$3000,"&lt;&gt;*Exclude*"))/(COUNTIFS('DATA INPUT'!$B$3:$B$3000,'Report Tables'!AX$1,'DATA INPUT'!$A$3:$A$3000,"&gt;="&amp;DATE(2025,7,1),'DATA INPUT'!$A$3:$A$3000,"&lt;"&amp;DATE(2025,7,31),'DATA INPUT'!$F$3:$F$3000,"&lt;&gt;*Exclude*")),#N/A))</f>
        <v>#N/A</v>
      </c>
    </row>
    <row r="106" spans="25:52" x14ac:dyDescent="0.3">
      <c r="Y106" s="149"/>
      <c r="Z106" s="149" t="s">
        <v>19</v>
      </c>
      <c r="AA106" s="136" t="e">
        <f>IF($L$2="Yes",IF(SUMIFS('DATA INPUT'!$E$3:$E$3000,'DATA INPUT'!$B$3:$B$3000,'Report Tables'!AA$1,'DATA INPUT'!$A$3:$A$3000,"&gt;="&amp;DATE(2025,8,1),'DATA INPUT'!$A$3:$A$3000,"&lt;"&amp;DATE(2025,8,31))=0,#N/A,(SUMIFS('DATA INPUT'!$E$3:$E$3000,'DATA INPUT'!$B$3:$B$3000,'Report Tables'!AA$1,'DATA INPUT'!$A$3:$A$3000,"&gt;="&amp;DATE(2025,8,1),'DATA INPUT'!$A$3:$A$3000,"&lt;"&amp;DATE(2025,8,31)))),IF(SUMIFS('DATA INPUT'!$E$3:$E$3000,'DATA INPUT'!$B$3:$B$3000,'Report Tables'!AA$1,'DATA INPUT'!$A$3:$A$3000,"&gt;="&amp;DATE(2025,8,1),'DATA INPUT'!$A$3:$A$3000,"&lt;"&amp;DATE(2025,8,31),'DATA INPUT'!$F$3:$F$3000,"&lt;&gt;*Exclude*")=0,#N/A,(SUMIFS('DATA INPUT'!$E$3:$E$3000,'DATA INPUT'!$B$3:$B$3000,'Report Tables'!AA$1,'DATA INPUT'!$A$3:$A$3000,"&gt;="&amp;DATE(2025,8,1),'DATA INPUT'!$A$3:$A$3000,"&lt;"&amp;DATE(2025,8,31),'DATA INPUT'!$F$3:$F$3000,"&lt;&gt;*Exclude*"))))</f>
        <v>#N/A</v>
      </c>
      <c r="AB106" s="136" t="e">
        <f>IF($L$2="Yes",IF(SUMIFS('DATA INPUT'!$E$3:$E$3000,'DATA INPUT'!$B$3:$B$3000,'Report Tables'!AB$1,'DATA INPUT'!$A$3:$A$3000,"&gt;="&amp;DATE(2025,8,1),'DATA INPUT'!$A$3:$A$3000,"&lt;"&amp;DATE(2025,8,31))=0,#N/A,(SUMIFS('DATA INPUT'!$E$3:$E$3000,'DATA INPUT'!$B$3:$B$3000,'Report Tables'!AB$1,'DATA INPUT'!$A$3:$A$3000,"&gt;="&amp;DATE(2025,8,1),'DATA INPUT'!$A$3:$A$3000,"&lt;"&amp;DATE(2025,8,31)))),IF(SUMIFS('DATA INPUT'!$E$3:$E$3000,'DATA INPUT'!$B$3:$B$3000,'Report Tables'!AB$1,'DATA INPUT'!$A$3:$A$3000,"&gt;="&amp;DATE(2025,8,1),'DATA INPUT'!$A$3:$A$3000,"&lt;"&amp;DATE(2025,8,31),'DATA INPUT'!$F$3:$F$3000,"&lt;&gt;*Exclude*")=0,#N/A,(SUMIFS('DATA INPUT'!$E$3:$E$3000,'DATA INPUT'!$B$3:$B$3000,'Report Tables'!AB$1,'DATA INPUT'!$A$3:$A$3000,"&gt;="&amp;DATE(2025,8,1),'DATA INPUT'!$A$3:$A$3000,"&lt;"&amp;DATE(2025,8,31),'DATA INPUT'!$F$3:$F$3000,"&lt;&gt;*Exclude*"))))</f>
        <v>#N/A</v>
      </c>
      <c r="AC106" s="136" t="e">
        <f>IF($L$2="Yes",IF(SUMIFS('DATA INPUT'!$E$3:$E$3000,'DATA INPUT'!$B$3:$B$3000,'Report Tables'!AC$1,'DATA INPUT'!$A$3:$A$3000,"&gt;="&amp;DATE(2025,8,1),'DATA INPUT'!$A$3:$A$3000,"&lt;"&amp;DATE(2025,8,31))=0,#N/A,(SUMIFS('DATA INPUT'!$E$3:$E$3000,'DATA INPUT'!$B$3:$B$3000,'Report Tables'!AC$1,'DATA INPUT'!$A$3:$A$3000,"&gt;="&amp;DATE(2025,8,1),'DATA INPUT'!$A$3:$A$3000,"&lt;"&amp;DATE(2025,8,31)))),IF(SUMIFS('DATA INPUT'!$E$3:$E$3000,'DATA INPUT'!$B$3:$B$3000,'Report Tables'!AC$1,'DATA INPUT'!$A$3:$A$3000,"&gt;="&amp;DATE(2025,8,1),'DATA INPUT'!$A$3:$A$3000,"&lt;"&amp;DATE(2025,8,31),'DATA INPUT'!$F$3:$F$3000,"&lt;&gt;*Exclude*")=0,#N/A,(SUMIFS('DATA INPUT'!$E$3:$E$3000,'DATA INPUT'!$B$3:$B$3000,'Report Tables'!AC$1,'DATA INPUT'!$A$3:$A$3000,"&gt;="&amp;DATE(2025,8,1),'DATA INPUT'!$A$3:$A$3000,"&lt;"&amp;DATE(2025,8,31),'DATA INPUT'!$F$3:$F$3000,"&lt;&gt;*Exclude*"))))</f>
        <v>#N/A</v>
      </c>
      <c r="AD106" s="136" t="e">
        <f>IF($L$2="Yes",IF(SUMIFS('DATA INPUT'!$E$3:$E$3000,'DATA INPUT'!$B$3:$B$3000,'Report Tables'!AD$1,'DATA INPUT'!$A$3:$A$3000,"&gt;="&amp;DATE(2025,8,1),'DATA INPUT'!$A$3:$A$3000,"&lt;"&amp;DATE(2025,8,31))=0,#N/A,(SUMIFS('DATA INPUT'!$E$3:$E$3000,'DATA INPUT'!$B$3:$B$3000,'Report Tables'!AD$1,'DATA INPUT'!$A$3:$A$3000,"&gt;="&amp;DATE(2025,8,1),'DATA INPUT'!$A$3:$A$3000,"&lt;"&amp;DATE(2025,8,31)))),IF(SUMIFS('DATA INPUT'!$E$3:$E$3000,'DATA INPUT'!$B$3:$B$3000,'Report Tables'!AD$1,'DATA INPUT'!$A$3:$A$3000,"&gt;="&amp;DATE(2025,8,1),'DATA INPUT'!$A$3:$A$3000,"&lt;"&amp;DATE(2025,8,31),'DATA INPUT'!$F$3:$F$3000,"&lt;&gt;*Exclude*")=0,#N/A,(SUMIFS('DATA INPUT'!$E$3:$E$3000,'DATA INPUT'!$B$3:$B$3000,'Report Tables'!AD$1,'DATA INPUT'!$A$3:$A$3000,"&gt;="&amp;DATE(2025,8,1),'DATA INPUT'!$A$3:$A$3000,"&lt;"&amp;DATE(2025,8,31),'DATA INPUT'!$F$3:$F$3000,"&lt;&gt;*Exclude*"))))</f>
        <v>#N/A</v>
      </c>
      <c r="AE106" s="136" t="e">
        <f>IF($L$2="Yes",IF(SUMIFS('DATA INPUT'!$E$3:$E$3000,'DATA INPUT'!$B$3:$B$3000,'Report Tables'!AE$1,'DATA INPUT'!$A$3:$A$3000,"&gt;="&amp;DATE(2025,8,1),'DATA INPUT'!$A$3:$A$3000,"&lt;"&amp;DATE(2025,8,31))=0,#N/A,(SUMIFS('DATA INPUT'!$E$3:$E$3000,'DATA INPUT'!$B$3:$B$3000,'Report Tables'!AE$1,'DATA INPUT'!$A$3:$A$3000,"&gt;="&amp;DATE(2025,8,1),'DATA INPUT'!$A$3:$A$3000,"&lt;"&amp;DATE(2025,8,31)))),IF(SUMIFS('DATA INPUT'!$E$3:$E$3000,'DATA INPUT'!$B$3:$B$3000,'Report Tables'!AE$1,'DATA INPUT'!$A$3:$A$3000,"&gt;="&amp;DATE(2025,8,1),'DATA INPUT'!$A$3:$A$3000,"&lt;"&amp;DATE(2025,8,31),'DATA INPUT'!$F$3:$F$3000,"&lt;&gt;*Exclude*")=0,#N/A,(SUMIFS('DATA INPUT'!$E$3:$E$3000,'DATA INPUT'!$B$3:$B$3000,'Report Tables'!AE$1,'DATA INPUT'!$A$3:$A$3000,"&gt;="&amp;DATE(2025,8,1),'DATA INPUT'!$A$3:$A$3000,"&lt;"&amp;DATE(2025,8,31),'DATA INPUT'!$F$3:$F$3000,"&lt;&gt;*Exclude*"))))</f>
        <v>#N/A</v>
      </c>
      <c r="AF106" s="136" t="e">
        <f>IF($L$2="Yes",IF(SUMIFS('DATA INPUT'!$E$3:$E$3000,'DATA INPUT'!$B$3:$B$3000,'Report Tables'!AF$1,'DATA INPUT'!$A$3:$A$3000,"&gt;="&amp;DATE(2025,8,1),'DATA INPUT'!$A$3:$A$3000,"&lt;"&amp;DATE(2025,8,31))=0,#N/A,(SUMIFS('DATA INPUT'!$E$3:$E$3000,'DATA INPUT'!$B$3:$B$3000,'Report Tables'!AF$1,'DATA INPUT'!$A$3:$A$3000,"&gt;="&amp;DATE(2025,8,1),'DATA INPUT'!$A$3:$A$3000,"&lt;"&amp;DATE(2025,8,31)))),IF(SUMIFS('DATA INPUT'!$E$3:$E$3000,'DATA INPUT'!$B$3:$B$3000,'Report Tables'!AF$1,'DATA INPUT'!$A$3:$A$3000,"&gt;="&amp;DATE(2025,8,1),'DATA INPUT'!$A$3:$A$3000,"&lt;"&amp;DATE(2025,8,31),'DATA INPUT'!$F$3:$F$3000,"&lt;&gt;*Exclude*")=0,#N/A,(SUMIFS('DATA INPUT'!$E$3:$E$3000,'DATA INPUT'!$B$3:$B$3000,'Report Tables'!AF$1,'DATA INPUT'!$A$3:$A$3000,"&gt;="&amp;DATE(2025,8,1),'DATA INPUT'!$A$3:$A$3000,"&lt;"&amp;DATE(2025,8,31),'DATA INPUT'!$F$3:$F$3000,"&lt;&gt;*Exclude*"))))</f>
        <v>#N/A</v>
      </c>
      <c r="AG106" s="136" t="e">
        <f>IF($L$2="Yes",IF(SUMIFS('DATA INPUT'!$E$3:$E$3000,'DATA INPUT'!$B$3:$B$3000,'Report Tables'!AG$1,'DATA INPUT'!$A$3:$A$3000,"&gt;="&amp;DATE(2025,8,1),'DATA INPUT'!$A$3:$A$3000,"&lt;"&amp;DATE(2025,8,31))=0,#N/A,(SUMIFS('DATA INPUT'!$E$3:$E$3000,'DATA INPUT'!$B$3:$B$3000,'Report Tables'!AG$1,'DATA INPUT'!$A$3:$A$3000,"&gt;="&amp;DATE(2025,8,1),'DATA INPUT'!$A$3:$A$3000,"&lt;"&amp;DATE(2025,8,31)))),IF(SUMIFS('DATA INPUT'!$E$3:$E$3000,'DATA INPUT'!$B$3:$B$3000,'Report Tables'!AG$1,'DATA INPUT'!$A$3:$A$3000,"&gt;="&amp;DATE(2025,8,1),'DATA INPUT'!$A$3:$A$3000,"&lt;"&amp;DATE(2025,8,31),'DATA INPUT'!$F$3:$F$3000,"&lt;&gt;*Exclude*")=0,#N/A,(SUMIFS('DATA INPUT'!$E$3:$E$3000,'DATA INPUT'!$B$3:$B$3000,'Report Tables'!AG$1,'DATA INPUT'!$A$3:$A$3000,"&gt;="&amp;DATE(2025,8,1),'DATA INPUT'!$A$3:$A$3000,"&lt;"&amp;DATE(2025,8,31),'DATA INPUT'!$F$3:$F$3000,"&lt;&gt;*Exclude*"))))</f>
        <v>#N/A</v>
      </c>
      <c r="AH106" s="136" t="e">
        <f>IF($L$2="Yes",IF(SUMIFS('DATA INPUT'!$E$3:$E$3000,'DATA INPUT'!$B$3:$B$3000,'Report Tables'!AH$1,'DATA INPUT'!$A$3:$A$3000,"&gt;="&amp;DATE(2025,8,1),'DATA INPUT'!$A$3:$A$3000,"&lt;"&amp;DATE(2025,8,31))=0,#N/A,(SUMIFS('DATA INPUT'!$E$3:$E$3000,'DATA INPUT'!$B$3:$B$3000,'Report Tables'!AH$1,'DATA INPUT'!$A$3:$A$3000,"&gt;="&amp;DATE(2025,8,1),'DATA INPUT'!$A$3:$A$3000,"&lt;"&amp;DATE(2025,8,31)))),IF(SUMIFS('DATA INPUT'!$E$3:$E$3000,'DATA INPUT'!$B$3:$B$3000,'Report Tables'!AH$1,'DATA INPUT'!$A$3:$A$3000,"&gt;="&amp;DATE(2025,8,1),'DATA INPUT'!$A$3:$A$3000,"&lt;"&amp;DATE(2025,8,31),'DATA INPUT'!$F$3:$F$3000,"&lt;&gt;*Exclude*")=0,#N/A,(SUMIFS('DATA INPUT'!$E$3:$E$3000,'DATA INPUT'!$B$3:$B$3000,'Report Tables'!AH$1,'DATA INPUT'!$A$3:$A$3000,"&gt;="&amp;DATE(2025,8,1),'DATA INPUT'!$A$3:$A$3000,"&lt;"&amp;DATE(2025,8,31),'DATA INPUT'!$F$3:$F$3000,"&lt;&gt;*Exclude*"))))</f>
        <v>#N/A</v>
      </c>
      <c r="AI106" s="136" t="e">
        <f t="shared" si="23"/>
        <v>#N/A</v>
      </c>
      <c r="AJ106" s="136" t="e">
        <f>IF($L$2="Yes",IF(SUMIFS('DATA INPUT'!$D$3:$D$3000,'DATA INPUT'!$A$3:$A$3000,"&gt;="&amp;DATE(2025,8,1),'DATA INPUT'!$A$3:$A$3000,"&lt;"&amp;DATE(2025,8,31),'DATA INPUT'!$G$3:$G$3000,"&lt;&gt;*School service*")=0,#N/A,(SUMIFS('DATA INPUT'!$D$3:$D$3000,'DATA INPUT'!$A$3:$A$3000,"&gt;="&amp;DATE(2025,8,1),'DATA INPUT'!$A$3:$A$3000,"&lt;"&amp;DATE(2025,8,31),'DATA INPUT'!$G$3:$G$3000,"&lt;&gt;*School service*"))),IF(SUMIFS('DATA INPUT'!$D$3:$D$3000,'DATA INPUT'!$A$3:$A$3000,"&gt;="&amp;DATE(2025,8,1),'DATA INPUT'!$A$3:$A$3000,"&lt;"&amp;DATE(2025,8,31),'DATA INPUT'!$F$3:$F$3000,"&lt;&gt;*Exclude*",'DATA INPUT'!$G$3:$G$3000,"&lt;&gt;*School service*")=0,#N/A,(SUMIFS('DATA INPUT'!$D$3:$D$3000,'DATA INPUT'!$A$3:$A$3000,"&gt;="&amp;DATE(2025,8,1),'DATA INPUT'!$A$3:$A$3000,"&lt;"&amp;DATE(2025,8,31),'DATA INPUT'!$F$3:$F$3000,"&lt;&gt;*Exclude*",'DATA INPUT'!$G$3:$G$3000,"&lt;&gt;*School service*"))))</f>
        <v>#N/A</v>
      </c>
      <c r="AK106" s="136" t="e">
        <f>AI106-AJ106</f>
        <v>#N/A</v>
      </c>
      <c r="AM106" s="117" t="e">
        <f>IF($L$2="Yes",IFERROR((SUMIFS('DATA INPUT'!$E$3:$E$3000,'DATA INPUT'!$B$3:$B$3000,'Report Tables'!AM$1,'DATA INPUT'!$A$3:$A$3000,"&gt;="&amp;DATE(2025,8,1),'DATA INPUT'!$A$3:$A$3000,"&lt;"&amp;DATE(2025,8,31)))/COUNTIFS('DATA INPUT'!$B$3:$B$3000,'Report Tables'!AM$1,'DATA INPUT'!$A$3:$A$3000,"&gt;="&amp;DATE(2025,8,1),'DATA INPUT'!$A$3:$A$3000,"&lt;"&amp;DATE(2025,8,31)),#N/A),IFERROR((SUMIFS('DATA INPUT'!$E$3:$E$3000,'DATA INPUT'!$B$3:$B$3000,'Report Tables'!AM$1,'DATA INPUT'!$A$3:$A$3000,"&gt;="&amp;DATE(2025,8,1),'DATA INPUT'!$A$3:$A$3000,"&lt;"&amp;DATE(2025,8,31),'DATA INPUT'!$F$3:$F$3000,"&lt;&gt;*Exclude*"))/(COUNTIFS('DATA INPUT'!$B$3:$B$3000,'Report Tables'!AM$1,'DATA INPUT'!$A$3:$A$3000,"&gt;="&amp;DATE(2025,8,1),'DATA INPUT'!$A$3:$A$3000,"&lt;"&amp;DATE(2025,8,31),'DATA INPUT'!$F$3:$F$3000,"&lt;&gt;*Exclude*")),#N/A))</f>
        <v>#N/A</v>
      </c>
      <c r="AN106" s="117" t="e">
        <f>IF($L$2="Yes",IFERROR((SUMIFS('DATA INPUT'!$E$3:$E$3000,'DATA INPUT'!$B$3:$B$3000,'Report Tables'!AN$1,'DATA INPUT'!$A$3:$A$3000,"&gt;="&amp;DATE(2025,8,1),'DATA INPUT'!$A$3:$A$3000,"&lt;"&amp;DATE(2025,8,31)))/COUNTIFS('DATA INPUT'!$B$3:$B$3000,'Report Tables'!AN$1,'DATA INPUT'!$A$3:$A$3000,"&gt;="&amp;DATE(2025,8,1),'DATA INPUT'!$A$3:$A$3000,"&lt;"&amp;DATE(2025,8,31)),#N/A),IFERROR((SUMIFS('DATA INPUT'!$E$3:$E$3000,'DATA INPUT'!$B$3:$B$3000,'Report Tables'!AN$1,'DATA INPUT'!$A$3:$A$3000,"&gt;="&amp;DATE(2025,8,1),'DATA INPUT'!$A$3:$A$3000,"&lt;"&amp;DATE(2025,8,31),'DATA INPUT'!$F$3:$F$3000,"&lt;&gt;*Exclude*"))/(COUNTIFS('DATA INPUT'!$B$3:$B$3000,'Report Tables'!AN$1,'DATA INPUT'!$A$3:$A$3000,"&gt;="&amp;DATE(2025,8,1),'DATA INPUT'!$A$3:$A$3000,"&lt;"&amp;DATE(2025,8,31),'DATA INPUT'!$F$3:$F$3000,"&lt;&gt;*Exclude*")),#N/A))</f>
        <v>#N/A</v>
      </c>
      <c r="AO106" s="117" t="e">
        <f>IF($L$2="Yes",IFERROR((SUMIFS('DATA INPUT'!$E$3:$E$3000,'DATA INPUT'!$B$3:$B$3000,'Report Tables'!AO$1,'DATA INPUT'!$A$3:$A$3000,"&gt;="&amp;DATE(2025,8,1),'DATA INPUT'!$A$3:$A$3000,"&lt;"&amp;DATE(2025,8,31)))/COUNTIFS('DATA INPUT'!$B$3:$B$3000,'Report Tables'!AO$1,'DATA INPUT'!$A$3:$A$3000,"&gt;="&amp;DATE(2025,8,1),'DATA INPUT'!$A$3:$A$3000,"&lt;"&amp;DATE(2025,8,31)),#N/A),IFERROR((SUMIFS('DATA INPUT'!$E$3:$E$3000,'DATA INPUT'!$B$3:$B$3000,'Report Tables'!AO$1,'DATA INPUT'!$A$3:$A$3000,"&gt;="&amp;DATE(2025,8,1),'DATA INPUT'!$A$3:$A$3000,"&lt;"&amp;DATE(2025,8,31),'DATA INPUT'!$F$3:$F$3000,"&lt;&gt;*Exclude*"))/(COUNTIFS('DATA INPUT'!$B$3:$B$3000,'Report Tables'!AO$1,'DATA INPUT'!$A$3:$A$3000,"&gt;="&amp;DATE(2025,8,1),'DATA INPUT'!$A$3:$A$3000,"&lt;"&amp;DATE(2025,8,31),'DATA INPUT'!$F$3:$F$3000,"&lt;&gt;*Exclude*")),#N/A))</f>
        <v>#N/A</v>
      </c>
      <c r="AP106" s="117" t="e">
        <f>IF($L$2="Yes",IFERROR((SUMIFS('DATA INPUT'!$E$3:$E$3000,'DATA INPUT'!$B$3:$B$3000,'Report Tables'!AP$1,'DATA INPUT'!$A$3:$A$3000,"&gt;="&amp;DATE(2025,8,1),'DATA INPUT'!$A$3:$A$3000,"&lt;"&amp;DATE(2025,8,31)))/COUNTIFS('DATA INPUT'!$B$3:$B$3000,'Report Tables'!AP$1,'DATA INPUT'!$A$3:$A$3000,"&gt;="&amp;DATE(2025,8,1),'DATA INPUT'!$A$3:$A$3000,"&lt;"&amp;DATE(2025,8,31)),#N/A),IFERROR((SUMIFS('DATA INPUT'!$E$3:$E$3000,'DATA INPUT'!$B$3:$B$3000,'Report Tables'!AP$1,'DATA INPUT'!$A$3:$A$3000,"&gt;="&amp;DATE(2025,8,1),'DATA INPUT'!$A$3:$A$3000,"&lt;"&amp;DATE(2025,8,31),'DATA INPUT'!$F$3:$F$3000,"&lt;&gt;*Exclude*"))/(COUNTIFS('DATA INPUT'!$B$3:$B$3000,'Report Tables'!AP$1,'DATA INPUT'!$A$3:$A$3000,"&gt;="&amp;DATE(2025,8,1),'DATA INPUT'!$A$3:$A$3000,"&lt;"&amp;DATE(2025,8,31),'DATA INPUT'!$F$3:$F$3000,"&lt;&gt;*Exclude*")),#N/A))</f>
        <v>#N/A</v>
      </c>
      <c r="AQ106" s="117" t="e">
        <f>IF($L$2="Yes",IFERROR((SUMIFS('DATA INPUT'!$E$3:$E$3000,'DATA INPUT'!$B$3:$B$3000,'Report Tables'!AQ$1,'DATA INPUT'!$A$3:$A$3000,"&gt;="&amp;DATE(2025,8,1),'DATA INPUT'!$A$3:$A$3000,"&lt;"&amp;DATE(2025,8,31)))/COUNTIFS('DATA INPUT'!$B$3:$B$3000,'Report Tables'!AQ$1,'DATA INPUT'!$A$3:$A$3000,"&gt;="&amp;DATE(2025,8,1),'DATA INPUT'!$A$3:$A$3000,"&lt;"&amp;DATE(2025,8,31)),#N/A),IFERROR((SUMIFS('DATA INPUT'!$E$3:$E$3000,'DATA INPUT'!$B$3:$B$3000,'Report Tables'!AQ$1,'DATA INPUT'!$A$3:$A$3000,"&gt;="&amp;DATE(2025,8,1),'DATA INPUT'!$A$3:$A$3000,"&lt;"&amp;DATE(2025,8,31),'DATA INPUT'!$F$3:$F$3000,"&lt;&gt;*Exclude*"))/(COUNTIFS('DATA INPUT'!$B$3:$B$3000,'Report Tables'!AQ$1,'DATA INPUT'!$A$3:$A$3000,"&gt;="&amp;DATE(2025,8,1),'DATA INPUT'!$A$3:$A$3000,"&lt;"&amp;DATE(2025,8,31),'DATA INPUT'!$F$3:$F$3000,"&lt;&gt;*Exclude*")),#N/A))</f>
        <v>#N/A</v>
      </c>
      <c r="AR106" s="117" t="e">
        <f>IF($L$2="Yes",IFERROR((SUMIFS('DATA INPUT'!$E$3:$E$3000,'DATA INPUT'!$B$3:$B$3000,'Report Tables'!AR$1,'DATA INPUT'!$A$3:$A$3000,"&gt;="&amp;DATE(2025,8,1),'DATA INPUT'!$A$3:$A$3000,"&lt;"&amp;DATE(2025,8,31)))/COUNTIFS('DATA INPUT'!$B$3:$B$3000,'Report Tables'!AR$1,'DATA INPUT'!$A$3:$A$3000,"&gt;="&amp;DATE(2025,8,1),'DATA INPUT'!$A$3:$A$3000,"&lt;"&amp;DATE(2025,8,31)),#N/A),IFERROR((SUMIFS('DATA INPUT'!$E$3:$E$3000,'DATA INPUT'!$B$3:$B$3000,'Report Tables'!AR$1,'DATA INPUT'!$A$3:$A$3000,"&gt;="&amp;DATE(2025,8,1),'DATA INPUT'!$A$3:$A$3000,"&lt;"&amp;DATE(2025,8,31),'DATA INPUT'!$F$3:$F$3000,"&lt;&gt;*Exclude*"))/(COUNTIFS('DATA INPUT'!$B$3:$B$3000,'Report Tables'!AR$1,'DATA INPUT'!$A$3:$A$3000,"&gt;="&amp;DATE(2025,8,1),'DATA INPUT'!$A$3:$A$3000,"&lt;"&amp;DATE(2025,8,31),'DATA INPUT'!$F$3:$F$3000,"&lt;&gt;*Exclude*")),#N/A))</f>
        <v>#N/A</v>
      </c>
      <c r="AS106" s="117" t="e">
        <f>IF($L$2="Yes",IFERROR((SUMIFS('DATA INPUT'!$E$3:$E$3000,'DATA INPUT'!$B$3:$B$3000,'Report Tables'!AS$1,'DATA INPUT'!$A$3:$A$3000,"&gt;="&amp;DATE(2025,8,1),'DATA INPUT'!$A$3:$A$3000,"&lt;"&amp;DATE(2025,8,31)))/COUNTIFS('DATA INPUT'!$B$3:$B$3000,'Report Tables'!AS$1,'DATA INPUT'!$A$3:$A$3000,"&gt;="&amp;DATE(2025,8,1),'DATA INPUT'!$A$3:$A$3000,"&lt;"&amp;DATE(2025,8,31)),#N/A),IFERROR((SUMIFS('DATA INPUT'!$E$3:$E$3000,'DATA INPUT'!$B$3:$B$3000,'Report Tables'!AS$1,'DATA INPUT'!$A$3:$A$3000,"&gt;="&amp;DATE(2025,8,1),'DATA INPUT'!$A$3:$A$3000,"&lt;"&amp;DATE(2025,8,31),'DATA INPUT'!$F$3:$F$3000,"&lt;&gt;*Exclude*"))/(COUNTIFS('DATA INPUT'!$B$3:$B$3000,'Report Tables'!AS$1,'DATA INPUT'!$A$3:$A$3000,"&gt;="&amp;DATE(2025,8,1),'DATA INPUT'!$A$3:$A$3000,"&lt;"&amp;DATE(2025,8,31),'DATA INPUT'!$F$3:$F$3000,"&lt;&gt;*Exclude*")),#N/A))</f>
        <v>#N/A</v>
      </c>
      <c r="AT106" s="117" t="e">
        <f>IF($L$2="Yes",IFERROR((SUMIFS('DATA INPUT'!$E$3:$E$3000,'DATA INPUT'!$B$3:$B$3000,'Report Tables'!AT$1,'DATA INPUT'!$A$3:$A$3000,"&gt;="&amp;DATE(2025,8,1),'DATA INPUT'!$A$3:$A$3000,"&lt;"&amp;DATE(2025,8,31)))/COUNTIFS('DATA INPUT'!$B$3:$B$3000,'Report Tables'!AT$1,'DATA INPUT'!$A$3:$A$3000,"&gt;="&amp;DATE(2025,8,1),'DATA INPUT'!$A$3:$A$3000,"&lt;"&amp;DATE(2025,8,31)),#N/A),IFERROR((SUMIFS('DATA INPUT'!$E$3:$E$3000,'DATA INPUT'!$B$3:$B$3000,'Report Tables'!AT$1,'DATA INPUT'!$A$3:$A$3000,"&gt;="&amp;DATE(2025,8,1),'DATA INPUT'!$A$3:$A$3000,"&lt;"&amp;DATE(2025,8,31),'DATA INPUT'!$F$3:$F$3000,"&lt;&gt;*Exclude*"))/(COUNTIFS('DATA INPUT'!$B$3:$B$3000,'Report Tables'!AT$1,'DATA INPUT'!$A$3:$A$3000,"&gt;="&amp;DATE(2025,8,1),'DATA INPUT'!$A$3:$A$3000,"&lt;"&amp;DATE(2025,8,31),'DATA INPUT'!$F$3:$F$3000,"&lt;&gt;*Exclude*")),#N/A))</f>
        <v>#N/A</v>
      </c>
      <c r="AU106" s="117" t="e">
        <f t="shared" si="24"/>
        <v>#N/A</v>
      </c>
      <c r="AV106" s="117" t="e">
        <f>IF($L$2="Yes",IFERROR((SUMIFS('DATA INPUT'!$D$3:$D$3000,'DATA INPUT'!$A$3:$A$3000,"&gt;="&amp;DATE(2025,8,1),'DATA INPUT'!$A$3:$A$3000,"&lt;"&amp;DATE(2025,8,31),'DATA INPUT'!$G$3:$G$3000,"&lt;&gt;*School service*"))/COUNTIFS('DATA INPUT'!$A$3:$A$3000,"&gt;="&amp;DATE(2025,8,1),'DATA INPUT'!$A$3:$A$3000,"&lt;"&amp;DATE(2025,8,31),'DATA INPUT'!$G$3:$G$3000,"&lt;&gt;*School service*",'DATA INPUT'!$D$3:$D$3000,"&lt;&gt;"&amp;""),#N/A),IFERROR((SUMIFS('DATA INPUT'!$D$3:$D$3000,'DATA INPUT'!$A$3:$A$3000,"&gt;="&amp;DATE(2025,8,1),'DATA INPUT'!$A$3:$A$3000,"&lt;"&amp;DATE(2025,8,31),'DATA INPUT'!$F$3:$F$3000,"&lt;&gt;*Exclude*",'DATA INPUT'!$G$3:$G$3000,"&lt;&gt;*School service*"))/(COUNTIFS('DATA INPUT'!$A$3:$A$3000,"&gt;="&amp;DATE(2025,8,1),'DATA INPUT'!$A$3:$A$3000,"&lt;"&amp;DATE(2025,8,31),'DATA INPUT'!$F$3:$F$3000,"&lt;&gt;*Exclude*",'DATA INPUT'!$G$3:$G$3000,"&lt;&gt;*School service*",'DATA INPUT'!$D$3:$D$3000,"&lt;&gt;"&amp;"")),#N/A))</f>
        <v>#N/A</v>
      </c>
      <c r="AW106" s="117" t="e">
        <f t="shared" si="25"/>
        <v>#N/A</v>
      </c>
      <c r="AX106" s="117" t="e">
        <f>IF($L$2="Yes",IFERROR((SUMIFS('DATA INPUT'!$E$3:$E$3000,'DATA INPUT'!$B$3:$B$3000,'Report Tables'!AX$1,'DATA INPUT'!$A$3:$A$3000,"&gt;="&amp;DATE(2025,8,1),'DATA INPUT'!$A$3:$A$3000,"&lt;"&amp;DATE(2025,8,31)))/COUNTIFS('DATA INPUT'!$B$3:$B$3000,'Report Tables'!AX$1,'DATA INPUT'!$A$3:$A$3000,"&gt;="&amp;DATE(2025,8,1),'DATA INPUT'!$A$3:$A$3000,"&lt;"&amp;DATE(2025,8,31)),#N/A),IFERROR((SUMIFS('DATA INPUT'!$E$3:$E$3000,'DATA INPUT'!$B$3:$B$3000,'Report Tables'!AX$1,'DATA INPUT'!$A$3:$A$3000,"&gt;="&amp;DATE(2025,8,1),'DATA INPUT'!$A$3:$A$3000,"&lt;"&amp;DATE(2025,8,31),'DATA INPUT'!$F$3:$F$3000,"&lt;&gt;*Exclude*"))/(COUNTIFS('DATA INPUT'!$B$3:$B$3000,'Report Tables'!AX$1,'DATA INPUT'!$A$3:$A$3000,"&gt;="&amp;DATE(2025,8,1),'DATA INPUT'!$A$3:$A$3000,"&lt;"&amp;DATE(2025,8,31),'DATA INPUT'!$F$3:$F$3000,"&lt;&gt;*Exclude*")),#N/A))</f>
        <v>#N/A</v>
      </c>
      <c r="AY106" s="117" t="e">
        <f>IF($L$2="Yes",IFERROR((SUMIFS('DATA INPUT'!$D$3:$D$3000,'DATA INPUT'!$B$3:$B$3000,'Report Tables'!AX$1,'DATA INPUT'!$A$3:$A$3000,"&gt;="&amp;DATE(2025,8,1),'DATA INPUT'!$A$3:$A$3000,"&lt;"&amp;DATE(2025,8,31)))/COUNTIFS('DATA INPUT'!$B$3:$B$3000,'Report Tables'!AX$1,'DATA INPUT'!$A$3:$A$3000,"&gt;="&amp;DATE(2025,8,1),'DATA INPUT'!$A$3:$A$3000,"&lt;"&amp;DATE(2025,8,31)),#N/A),IFERROR((SUMIFS('DATA INPUT'!$D$3:$D$3000,'DATA INPUT'!$B$3:$B$3000,'Report Tables'!AX$1,'DATA INPUT'!$A$3:$A$3000,"&gt;="&amp;DATE(2025,8,1),'DATA INPUT'!$A$3:$A$3000,"&lt;"&amp;DATE(2025,8,31),'DATA INPUT'!$F$3:$F$3000,"&lt;&gt;*Exclude*"))/(COUNTIFS('DATA INPUT'!$B$3:$B$3000,'Report Tables'!AX$1,'DATA INPUT'!$A$3:$A$3000,"&gt;="&amp;DATE(2025,8,1),'DATA INPUT'!$A$3:$A$3000,"&lt;"&amp;DATE(2025,8,31),'DATA INPUT'!$F$3:$F$3000,"&lt;&gt;*Exclude*")),#N/A))</f>
        <v>#N/A</v>
      </c>
      <c r="AZ106" s="117" t="e">
        <f>IF($L$2="Yes",IFERROR((SUMIFS('DATA INPUT'!$C$3:$C$3000,'DATA INPUT'!$B$3:$B$3000,'Report Tables'!AX$1,'DATA INPUT'!$A$3:$A$3000,"&gt;="&amp;DATE(2025,8,1),'DATA INPUT'!$A$3:$A$3000,"&lt;"&amp;DATE(2025,8,31)))/COUNTIFS('DATA INPUT'!$B$3:$B$3000,'Report Tables'!AX$1,'DATA INPUT'!$A$3:$A$3000,"&gt;="&amp;DATE(2025,8,1),'DATA INPUT'!$A$3:$A$3000,"&lt;"&amp;DATE(2025,8,31)),#N/A),IFERROR((SUMIFS('DATA INPUT'!$C$3:$C$3000,'DATA INPUT'!$B$3:$B$3000,'Report Tables'!AX$1,'DATA INPUT'!$A$3:$A$3000,"&gt;="&amp;DATE(2025,8,1),'DATA INPUT'!$A$3:$A$3000,"&lt;"&amp;DATE(2025,8,31),'DATA INPUT'!$F$3:$F$3000,"&lt;&gt;*Exclude*"))/(COUNTIFS('DATA INPUT'!$B$3:$B$3000,'Report Tables'!AX$1,'DATA INPUT'!$A$3:$A$3000,"&gt;="&amp;DATE(2025,8,1),'DATA INPUT'!$A$3:$A$3000,"&lt;"&amp;DATE(2025,8,31),'DATA INPUT'!$F$3:$F$3000,"&lt;&gt;*Exclude*")),#N/A))</f>
        <v>#N/A</v>
      </c>
    </row>
    <row r="107" spans="25:52" x14ac:dyDescent="0.3">
      <c r="Y107" s="149"/>
      <c r="Z107" s="149" t="s">
        <v>20</v>
      </c>
      <c r="AA107" s="136" t="e">
        <f>IF($L$2="Yes",IF(SUMIFS('DATA INPUT'!$E$3:$E$3000,'DATA INPUT'!$B$3:$B$3000,'Report Tables'!AA$1,'DATA INPUT'!$A$3:$A$3000,"&gt;="&amp;DATE(2025,9,1),'DATA INPUT'!$A$3:$A$3000,"&lt;"&amp;DATE(2025,9,31))=0,#N/A,(SUMIFS('DATA INPUT'!$E$3:$E$3000,'DATA INPUT'!$B$3:$B$3000,'Report Tables'!AA$1,'DATA INPUT'!$A$3:$A$3000,"&gt;="&amp;DATE(2025,9,1),'DATA INPUT'!$A$3:$A$3000,"&lt;"&amp;DATE(2025,9,31)))),IF(SUMIFS('DATA INPUT'!$E$3:$E$3000,'DATA INPUT'!$B$3:$B$3000,'Report Tables'!AA$1,'DATA INPUT'!$A$3:$A$3000,"&gt;="&amp;DATE(2025,9,1),'DATA INPUT'!$A$3:$A$3000,"&lt;"&amp;DATE(2025,9,31),'DATA INPUT'!$F$3:$F$3000,"&lt;&gt;*Exclude*")=0,#N/A,(SUMIFS('DATA INPUT'!$E$3:$E$3000,'DATA INPUT'!$B$3:$B$3000,'Report Tables'!AA$1,'DATA INPUT'!$A$3:$A$3000,"&gt;="&amp;DATE(2025,9,1),'DATA INPUT'!$A$3:$A$3000,"&lt;"&amp;DATE(2025,9,31),'DATA INPUT'!$F$3:$F$3000,"&lt;&gt;*Exclude*"))))</f>
        <v>#N/A</v>
      </c>
      <c r="AB107" s="136" t="e">
        <f>IF($L$2="Yes",IF(SUMIFS('DATA INPUT'!$E$3:$E$3000,'DATA INPUT'!$B$3:$B$3000,'Report Tables'!AB$1,'DATA INPUT'!$A$3:$A$3000,"&gt;="&amp;DATE(2025,9,1),'DATA INPUT'!$A$3:$A$3000,"&lt;"&amp;DATE(2025,9,31))=0,#N/A,(SUMIFS('DATA INPUT'!$E$3:$E$3000,'DATA INPUT'!$B$3:$B$3000,'Report Tables'!AB$1,'DATA INPUT'!$A$3:$A$3000,"&gt;="&amp;DATE(2025,9,1),'DATA INPUT'!$A$3:$A$3000,"&lt;"&amp;DATE(2025,9,31)))),IF(SUMIFS('DATA INPUT'!$E$3:$E$3000,'DATA INPUT'!$B$3:$B$3000,'Report Tables'!AB$1,'DATA INPUT'!$A$3:$A$3000,"&gt;="&amp;DATE(2025,9,1),'DATA INPUT'!$A$3:$A$3000,"&lt;"&amp;DATE(2025,9,31),'DATA INPUT'!$F$3:$F$3000,"&lt;&gt;*Exclude*")=0,#N/A,(SUMIFS('DATA INPUT'!$E$3:$E$3000,'DATA INPUT'!$B$3:$B$3000,'Report Tables'!AB$1,'DATA INPUT'!$A$3:$A$3000,"&gt;="&amp;DATE(2025,9,1),'DATA INPUT'!$A$3:$A$3000,"&lt;"&amp;DATE(2025,9,31),'DATA INPUT'!$F$3:$F$3000,"&lt;&gt;*Exclude*"))))</f>
        <v>#N/A</v>
      </c>
      <c r="AC107" s="136" t="e">
        <f>IF($L$2="Yes",IF(SUMIFS('DATA INPUT'!$E$3:$E$3000,'DATA INPUT'!$B$3:$B$3000,'Report Tables'!AC$1,'DATA INPUT'!$A$3:$A$3000,"&gt;="&amp;DATE(2025,9,1),'DATA INPUT'!$A$3:$A$3000,"&lt;"&amp;DATE(2025,9,31))=0,#N/A,(SUMIFS('DATA INPUT'!$E$3:$E$3000,'DATA INPUT'!$B$3:$B$3000,'Report Tables'!AC$1,'DATA INPUT'!$A$3:$A$3000,"&gt;="&amp;DATE(2025,9,1),'DATA INPUT'!$A$3:$A$3000,"&lt;"&amp;DATE(2025,9,31)))),IF(SUMIFS('DATA INPUT'!$E$3:$E$3000,'DATA INPUT'!$B$3:$B$3000,'Report Tables'!AC$1,'DATA INPUT'!$A$3:$A$3000,"&gt;="&amp;DATE(2025,9,1),'DATA INPUT'!$A$3:$A$3000,"&lt;"&amp;DATE(2025,9,31),'DATA INPUT'!$F$3:$F$3000,"&lt;&gt;*Exclude*")=0,#N/A,(SUMIFS('DATA INPUT'!$E$3:$E$3000,'DATA INPUT'!$B$3:$B$3000,'Report Tables'!AC$1,'DATA INPUT'!$A$3:$A$3000,"&gt;="&amp;DATE(2025,9,1),'DATA INPUT'!$A$3:$A$3000,"&lt;"&amp;DATE(2025,9,31),'DATA INPUT'!$F$3:$F$3000,"&lt;&gt;*Exclude*"))))</f>
        <v>#N/A</v>
      </c>
      <c r="AD107" s="136" t="e">
        <f>IF($L$2="Yes",IF(SUMIFS('DATA INPUT'!$E$3:$E$3000,'DATA INPUT'!$B$3:$B$3000,'Report Tables'!AD$1,'DATA INPUT'!$A$3:$A$3000,"&gt;="&amp;DATE(2025,9,1),'DATA INPUT'!$A$3:$A$3000,"&lt;"&amp;DATE(2025,9,31))=0,#N/A,(SUMIFS('DATA INPUT'!$E$3:$E$3000,'DATA INPUT'!$B$3:$B$3000,'Report Tables'!AD$1,'DATA INPUT'!$A$3:$A$3000,"&gt;="&amp;DATE(2025,9,1),'DATA INPUT'!$A$3:$A$3000,"&lt;"&amp;DATE(2025,9,31)))),IF(SUMIFS('DATA INPUT'!$E$3:$E$3000,'DATA INPUT'!$B$3:$B$3000,'Report Tables'!AD$1,'DATA INPUT'!$A$3:$A$3000,"&gt;="&amp;DATE(2025,9,1),'DATA INPUT'!$A$3:$A$3000,"&lt;"&amp;DATE(2025,9,31),'DATA INPUT'!$F$3:$F$3000,"&lt;&gt;*Exclude*")=0,#N/A,(SUMIFS('DATA INPUT'!$E$3:$E$3000,'DATA INPUT'!$B$3:$B$3000,'Report Tables'!AD$1,'DATA INPUT'!$A$3:$A$3000,"&gt;="&amp;DATE(2025,9,1),'DATA INPUT'!$A$3:$A$3000,"&lt;"&amp;DATE(2025,9,31),'DATA INPUT'!$F$3:$F$3000,"&lt;&gt;*Exclude*"))))</f>
        <v>#N/A</v>
      </c>
      <c r="AE107" s="136" t="e">
        <f>IF($L$2="Yes",IF(SUMIFS('DATA INPUT'!$E$3:$E$3000,'DATA INPUT'!$B$3:$B$3000,'Report Tables'!AE$1,'DATA INPUT'!$A$3:$A$3000,"&gt;="&amp;DATE(2025,9,1),'DATA INPUT'!$A$3:$A$3000,"&lt;"&amp;DATE(2025,9,31))=0,#N/A,(SUMIFS('DATA INPUT'!$E$3:$E$3000,'DATA INPUT'!$B$3:$B$3000,'Report Tables'!AE$1,'DATA INPUT'!$A$3:$A$3000,"&gt;="&amp;DATE(2025,9,1),'DATA INPUT'!$A$3:$A$3000,"&lt;"&amp;DATE(2025,9,31)))),IF(SUMIFS('DATA INPUT'!$E$3:$E$3000,'DATA INPUT'!$B$3:$B$3000,'Report Tables'!AE$1,'DATA INPUT'!$A$3:$A$3000,"&gt;="&amp;DATE(2025,9,1),'DATA INPUT'!$A$3:$A$3000,"&lt;"&amp;DATE(2025,9,31),'DATA INPUT'!$F$3:$F$3000,"&lt;&gt;*Exclude*")=0,#N/A,(SUMIFS('DATA INPUT'!$E$3:$E$3000,'DATA INPUT'!$B$3:$B$3000,'Report Tables'!AE$1,'DATA INPUT'!$A$3:$A$3000,"&gt;="&amp;DATE(2025,9,1),'DATA INPUT'!$A$3:$A$3000,"&lt;"&amp;DATE(2025,9,31),'DATA INPUT'!$F$3:$F$3000,"&lt;&gt;*Exclude*"))))</f>
        <v>#N/A</v>
      </c>
      <c r="AF107" s="136" t="e">
        <f>IF($L$2="Yes",IF(SUMIFS('DATA INPUT'!$E$3:$E$3000,'DATA INPUT'!$B$3:$B$3000,'Report Tables'!AF$1,'DATA INPUT'!$A$3:$A$3000,"&gt;="&amp;DATE(2025,9,1),'DATA INPUT'!$A$3:$A$3000,"&lt;"&amp;DATE(2025,9,31))=0,#N/A,(SUMIFS('DATA INPUT'!$E$3:$E$3000,'DATA INPUT'!$B$3:$B$3000,'Report Tables'!AF$1,'DATA INPUT'!$A$3:$A$3000,"&gt;="&amp;DATE(2025,9,1),'DATA INPUT'!$A$3:$A$3000,"&lt;"&amp;DATE(2025,9,31)))),IF(SUMIFS('DATA INPUT'!$E$3:$E$3000,'DATA INPUT'!$B$3:$B$3000,'Report Tables'!AF$1,'DATA INPUT'!$A$3:$A$3000,"&gt;="&amp;DATE(2025,9,1),'DATA INPUT'!$A$3:$A$3000,"&lt;"&amp;DATE(2025,9,31),'DATA INPUT'!$F$3:$F$3000,"&lt;&gt;*Exclude*")=0,#N/A,(SUMIFS('DATA INPUT'!$E$3:$E$3000,'DATA INPUT'!$B$3:$B$3000,'Report Tables'!AF$1,'DATA INPUT'!$A$3:$A$3000,"&gt;="&amp;DATE(2025,9,1),'DATA INPUT'!$A$3:$A$3000,"&lt;"&amp;DATE(2025,9,31),'DATA INPUT'!$F$3:$F$3000,"&lt;&gt;*Exclude*"))))</f>
        <v>#N/A</v>
      </c>
      <c r="AG107" s="136" t="e">
        <f>IF($L$2="Yes",IF(SUMIFS('DATA INPUT'!$E$3:$E$3000,'DATA INPUT'!$B$3:$B$3000,'Report Tables'!AG$1,'DATA INPUT'!$A$3:$A$3000,"&gt;="&amp;DATE(2025,9,1),'DATA INPUT'!$A$3:$A$3000,"&lt;"&amp;DATE(2025,9,31))=0,#N/A,(SUMIFS('DATA INPUT'!$E$3:$E$3000,'DATA INPUT'!$B$3:$B$3000,'Report Tables'!AG$1,'DATA INPUT'!$A$3:$A$3000,"&gt;="&amp;DATE(2025,9,1),'DATA INPUT'!$A$3:$A$3000,"&lt;"&amp;DATE(2025,9,31)))),IF(SUMIFS('DATA INPUT'!$E$3:$E$3000,'DATA INPUT'!$B$3:$B$3000,'Report Tables'!AG$1,'DATA INPUT'!$A$3:$A$3000,"&gt;="&amp;DATE(2025,9,1),'DATA INPUT'!$A$3:$A$3000,"&lt;"&amp;DATE(2025,9,31),'DATA INPUT'!$F$3:$F$3000,"&lt;&gt;*Exclude*")=0,#N/A,(SUMIFS('DATA INPUT'!$E$3:$E$3000,'DATA INPUT'!$B$3:$B$3000,'Report Tables'!AG$1,'DATA INPUT'!$A$3:$A$3000,"&gt;="&amp;DATE(2025,9,1),'DATA INPUT'!$A$3:$A$3000,"&lt;"&amp;DATE(2025,9,31),'DATA INPUT'!$F$3:$F$3000,"&lt;&gt;*Exclude*"))))</f>
        <v>#N/A</v>
      </c>
      <c r="AH107" s="136" t="e">
        <f>IF($L$2="Yes",IF(SUMIFS('DATA INPUT'!$E$3:$E$3000,'DATA INPUT'!$B$3:$B$3000,'Report Tables'!AH$1,'DATA INPUT'!$A$3:$A$3000,"&gt;="&amp;DATE(2025,9,1),'DATA INPUT'!$A$3:$A$3000,"&lt;"&amp;DATE(2025,9,31))=0,#N/A,(SUMIFS('DATA INPUT'!$E$3:$E$3000,'DATA INPUT'!$B$3:$B$3000,'Report Tables'!AH$1,'DATA INPUT'!$A$3:$A$3000,"&gt;="&amp;DATE(2025,9,1),'DATA INPUT'!$A$3:$A$3000,"&lt;"&amp;DATE(2025,9,31)))),IF(SUMIFS('DATA INPUT'!$E$3:$E$3000,'DATA INPUT'!$B$3:$B$3000,'Report Tables'!AH$1,'DATA INPUT'!$A$3:$A$3000,"&gt;="&amp;DATE(2025,9,1),'DATA INPUT'!$A$3:$A$3000,"&lt;"&amp;DATE(2025,9,31),'DATA INPUT'!$F$3:$F$3000,"&lt;&gt;*Exclude*")=0,#N/A,(SUMIFS('DATA INPUT'!$E$3:$E$3000,'DATA INPUT'!$B$3:$B$3000,'Report Tables'!AH$1,'DATA INPUT'!$A$3:$A$3000,"&gt;="&amp;DATE(2025,9,1),'DATA INPUT'!$A$3:$A$3000,"&lt;"&amp;DATE(2025,9,31),'DATA INPUT'!$F$3:$F$3000,"&lt;&gt;*Exclude*"))))</f>
        <v>#N/A</v>
      </c>
      <c r="AI107" s="136" t="e">
        <f t="shared" si="23"/>
        <v>#N/A</v>
      </c>
      <c r="AJ107" s="136" t="e">
        <f>IF($L$2="Yes",IF(SUMIFS('DATA INPUT'!$D$3:$D$3000,'DATA INPUT'!$A$3:$A$3000,"&gt;="&amp;DATE(2025,9,1),'DATA INPUT'!$A$3:$A$3000,"&lt;"&amp;DATE(2025,9,31),'DATA INPUT'!$G$3:$G$3000,"&lt;&gt;*School service*")=0,#N/A,(SUMIFS('DATA INPUT'!$D$3:$D$3000,'DATA INPUT'!$A$3:$A$3000,"&gt;="&amp;DATE(2025,9,1),'DATA INPUT'!$A$3:$A$3000,"&lt;"&amp;DATE(2025,9,31),'DATA INPUT'!$G$3:$G$3000,"&lt;&gt;*School service*"))),IF(SUMIFS('DATA INPUT'!$D$3:$D$3000,'DATA INPUT'!$A$3:$A$3000,"&gt;="&amp;DATE(2025,9,1),'DATA INPUT'!$A$3:$A$3000,"&lt;"&amp;DATE(2025,9,31),'DATA INPUT'!$F$3:$F$3000,"&lt;&gt;*Exclude*",'DATA INPUT'!$G$3:$G$3000,"&lt;&gt;*School service*")=0,#N/A,(SUMIFS('DATA INPUT'!$D$3:$D$3000,'DATA INPUT'!$A$3:$A$3000,"&gt;="&amp;DATE(2025,9,1),'DATA INPUT'!$A$3:$A$3000,"&lt;"&amp;DATE(2025,9,31),'DATA INPUT'!$F$3:$F$3000,"&lt;&gt;*Exclude*",'DATA INPUT'!$G$3:$G$3000,"&lt;&gt;*School service*"))))</f>
        <v>#N/A</v>
      </c>
      <c r="AK107" s="136" t="e">
        <f>AI107-AJ107</f>
        <v>#N/A</v>
      </c>
      <c r="AM107" s="117" t="e">
        <f>IF($L$2="Yes",IFERROR((SUMIFS('DATA INPUT'!$E$3:$E$3000,'DATA INPUT'!$B$3:$B$3000,'Report Tables'!AM$1,'DATA INPUT'!$A$3:$A$3000,"&gt;="&amp;DATE(2025,9,1),'DATA INPUT'!$A$3:$A$3000,"&lt;"&amp;DATE(2025,9,31)))/COUNTIFS('DATA INPUT'!$B$3:$B$3000,'Report Tables'!AM$1,'DATA INPUT'!$A$3:$A$3000,"&gt;="&amp;DATE(2025,9,1),'DATA INPUT'!$A$3:$A$3000,"&lt;"&amp;DATE(2025,9,31)),#N/A),IFERROR((SUMIFS('DATA INPUT'!$E$3:$E$3000,'DATA INPUT'!$B$3:$B$3000,'Report Tables'!AM$1,'DATA INPUT'!$A$3:$A$3000,"&gt;="&amp;DATE(2025,9,1),'DATA INPUT'!$A$3:$A$3000,"&lt;"&amp;DATE(2025,9,31),'DATA INPUT'!$F$3:$F$3000,"&lt;&gt;*Exclude*"))/(COUNTIFS('DATA INPUT'!$B$3:$B$3000,'Report Tables'!AM$1,'DATA INPUT'!$A$3:$A$3000,"&gt;="&amp;DATE(2025,9,1),'DATA INPUT'!$A$3:$A$3000,"&lt;"&amp;DATE(2025,9,31),'DATA INPUT'!$F$3:$F$3000,"&lt;&gt;*Exclude*")),#N/A))</f>
        <v>#N/A</v>
      </c>
      <c r="AN107" s="117" t="e">
        <f>IF($L$2="Yes",IFERROR((SUMIFS('DATA INPUT'!$E$3:$E$3000,'DATA INPUT'!$B$3:$B$3000,'Report Tables'!AN$1,'DATA INPUT'!$A$3:$A$3000,"&gt;="&amp;DATE(2025,9,1),'DATA INPUT'!$A$3:$A$3000,"&lt;"&amp;DATE(2025,9,31)))/COUNTIFS('DATA INPUT'!$B$3:$B$3000,'Report Tables'!AN$1,'DATA INPUT'!$A$3:$A$3000,"&gt;="&amp;DATE(2025,9,1),'DATA INPUT'!$A$3:$A$3000,"&lt;"&amp;DATE(2025,9,31)),#N/A),IFERROR((SUMIFS('DATA INPUT'!$E$3:$E$3000,'DATA INPUT'!$B$3:$B$3000,'Report Tables'!AN$1,'DATA INPUT'!$A$3:$A$3000,"&gt;="&amp;DATE(2025,9,1),'DATA INPUT'!$A$3:$A$3000,"&lt;"&amp;DATE(2025,9,31),'DATA INPUT'!$F$3:$F$3000,"&lt;&gt;*Exclude*"))/(COUNTIFS('DATA INPUT'!$B$3:$B$3000,'Report Tables'!AN$1,'DATA INPUT'!$A$3:$A$3000,"&gt;="&amp;DATE(2025,9,1),'DATA INPUT'!$A$3:$A$3000,"&lt;"&amp;DATE(2025,9,31),'DATA INPUT'!$F$3:$F$3000,"&lt;&gt;*Exclude*")),#N/A))</f>
        <v>#N/A</v>
      </c>
      <c r="AO107" s="117" t="e">
        <f>IF($L$2="Yes",IFERROR((SUMIFS('DATA INPUT'!$E$3:$E$3000,'DATA INPUT'!$B$3:$B$3000,'Report Tables'!AO$1,'DATA INPUT'!$A$3:$A$3000,"&gt;="&amp;DATE(2025,9,1),'DATA INPUT'!$A$3:$A$3000,"&lt;"&amp;DATE(2025,9,31)))/COUNTIFS('DATA INPUT'!$B$3:$B$3000,'Report Tables'!AO$1,'DATA INPUT'!$A$3:$A$3000,"&gt;="&amp;DATE(2025,9,1),'DATA INPUT'!$A$3:$A$3000,"&lt;"&amp;DATE(2025,9,31)),#N/A),IFERROR((SUMIFS('DATA INPUT'!$E$3:$E$3000,'DATA INPUT'!$B$3:$B$3000,'Report Tables'!AO$1,'DATA INPUT'!$A$3:$A$3000,"&gt;="&amp;DATE(2025,9,1),'DATA INPUT'!$A$3:$A$3000,"&lt;"&amp;DATE(2025,9,31),'DATA INPUT'!$F$3:$F$3000,"&lt;&gt;*Exclude*"))/(COUNTIFS('DATA INPUT'!$B$3:$B$3000,'Report Tables'!AO$1,'DATA INPUT'!$A$3:$A$3000,"&gt;="&amp;DATE(2025,9,1),'DATA INPUT'!$A$3:$A$3000,"&lt;"&amp;DATE(2025,9,31),'DATA INPUT'!$F$3:$F$3000,"&lt;&gt;*Exclude*")),#N/A))</f>
        <v>#N/A</v>
      </c>
      <c r="AP107" s="117" t="e">
        <f>IF($L$2="Yes",IFERROR((SUMIFS('DATA INPUT'!$E$3:$E$3000,'DATA INPUT'!$B$3:$B$3000,'Report Tables'!AP$1,'DATA INPUT'!$A$3:$A$3000,"&gt;="&amp;DATE(2025,9,1),'DATA INPUT'!$A$3:$A$3000,"&lt;"&amp;DATE(2025,9,31)))/COUNTIFS('DATA INPUT'!$B$3:$B$3000,'Report Tables'!AP$1,'DATA INPUT'!$A$3:$A$3000,"&gt;="&amp;DATE(2025,9,1),'DATA INPUT'!$A$3:$A$3000,"&lt;"&amp;DATE(2025,9,31)),#N/A),IFERROR((SUMIFS('DATA INPUT'!$E$3:$E$3000,'DATA INPUT'!$B$3:$B$3000,'Report Tables'!AP$1,'DATA INPUT'!$A$3:$A$3000,"&gt;="&amp;DATE(2025,9,1),'DATA INPUT'!$A$3:$A$3000,"&lt;"&amp;DATE(2025,9,31),'DATA INPUT'!$F$3:$F$3000,"&lt;&gt;*Exclude*"))/(COUNTIFS('DATA INPUT'!$B$3:$B$3000,'Report Tables'!AP$1,'DATA INPUT'!$A$3:$A$3000,"&gt;="&amp;DATE(2025,9,1),'DATA INPUT'!$A$3:$A$3000,"&lt;"&amp;DATE(2025,9,31),'DATA INPUT'!$F$3:$F$3000,"&lt;&gt;*Exclude*")),#N/A))</f>
        <v>#N/A</v>
      </c>
      <c r="AQ107" s="117" t="e">
        <f>IF($L$2="Yes",IFERROR((SUMIFS('DATA INPUT'!$E$3:$E$3000,'DATA INPUT'!$B$3:$B$3000,'Report Tables'!AQ$1,'DATA INPUT'!$A$3:$A$3000,"&gt;="&amp;DATE(2025,9,1),'DATA INPUT'!$A$3:$A$3000,"&lt;"&amp;DATE(2025,9,31)))/COUNTIFS('DATA INPUT'!$B$3:$B$3000,'Report Tables'!AQ$1,'DATA INPUT'!$A$3:$A$3000,"&gt;="&amp;DATE(2025,9,1),'DATA INPUT'!$A$3:$A$3000,"&lt;"&amp;DATE(2025,9,31)),#N/A),IFERROR((SUMIFS('DATA INPUT'!$E$3:$E$3000,'DATA INPUT'!$B$3:$B$3000,'Report Tables'!AQ$1,'DATA INPUT'!$A$3:$A$3000,"&gt;="&amp;DATE(2025,9,1),'DATA INPUT'!$A$3:$A$3000,"&lt;"&amp;DATE(2025,9,31),'DATA INPUT'!$F$3:$F$3000,"&lt;&gt;*Exclude*"))/(COUNTIFS('DATA INPUT'!$B$3:$B$3000,'Report Tables'!AQ$1,'DATA INPUT'!$A$3:$A$3000,"&gt;="&amp;DATE(2025,9,1),'DATA INPUT'!$A$3:$A$3000,"&lt;"&amp;DATE(2025,9,31),'DATA INPUT'!$F$3:$F$3000,"&lt;&gt;*Exclude*")),#N/A))</f>
        <v>#N/A</v>
      </c>
      <c r="AR107" s="117" t="e">
        <f>IF($L$2="Yes",IFERROR((SUMIFS('DATA INPUT'!$E$3:$E$3000,'DATA INPUT'!$B$3:$B$3000,'Report Tables'!AR$1,'DATA INPUT'!$A$3:$A$3000,"&gt;="&amp;DATE(2025,9,1),'DATA INPUT'!$A$3:$A$3000,"&lt;"&amp;DATE(2025,9,31)))/COUNTIFS('DATA INPUT'!$B$3:$B$3000,'Report Tables'!AR$1,'DATA INPUT'!$A$3:$A$3000,"&gt;="&amp;DATE(2025,9,1),'DATA INPUT'!$A$3:$A$3000,"&lt;"&amp;DATE(2025,9,31)),#N/A),IFERROR((SUMIFS('DATA INPUT'!$E$3:$E$3000,'DATA INPUT'!$B$3:$B$3000,'Report Tables'!AR$1,'DATA INPUT'!$A$3:$A$3000,"&gt;="&amp;DATE(2025,9,1),'DATA INPUT'!$A$3:$A$3000,"&lt;"&amp;DATE(2025,9,31),'DATA INPUT'!$F$3:$F$3000,"&lt;&gt;*Exclude*"))/(COUNTIFS('DATA INPUT'!$B$3:$B$3000,'Report Tables'!AR$1,'DATA INPUT'!$A$3:$A$3000,"&gt;="&amp;DATE(2025,9,1),'DATA INPUT'!$A$3:$A$3000,"&lt;"&amp;DATE(2025,9,31),'DATA INPUT'!$F$3:$F$3000,"&lt;&gt;*Exclude*")),#N/A))</f>
        <v>#N/A</v>
      </c>
      <c r="AS107" s="117" t="e">
        <f>IF($L$2="Yes",IFERROR((SUMIFS('DATA INPUT'!$E$3:$E$3000,'DATA INPUT'!$B$3:$B$3000,'Report Tables'!AS$1,'DATA INPUT'!$A$3:$A$3000,"&gt;="&amp;DATE(2025,9,1),'DATA INPUT'!$A$3:$A$3000,"&lt;"&amp;DATE(2025,9,31)))/COUNTIFS('DATA INPUT'!$B$3:$B$3000,'Report Tables'!AS$1,'DATA INPUT'!$A$3:$A$3000,"&gt;="&amp;DATE(2025,9,1),'DATA INPUT'!$A$3:$A$3000,"&lt;"&amp;DATE(2025,9,31)),#N/A),IFERROR((SUMIFS('DATA INPUT'!$E$3:$E$3000,'DATA INPUT'!$B$3:$B$3000,'Report Tables'!AS$1,'DATA INPUT'!$A$3:$A$3000,"&gt;="&amp;DATE(2025,9,1),'DATA INPUT'!$A$3:$A$3000,"&lt;"&amp;DATE(2025,9,31),'DATA INPUT'!$F$3:$F$3000,"&lt;&gt;*Exclude*"))/(COUNTIFS('DATA INPUT'!$B$3:$B$3000,'Report Tables'!AS$1,'DATA INPUT'!$A$3:$A$3000,"&gt;="&amp;DATE(2025,9,1),'DATA INPUT'!$A$3:$A$3000,"&lt;"&amp;DATE(2025,9,31),'DATA INPUT'!$F$3:$F$3000,"&lt;&gt;*Exclude*")),#N/A))</f>
        <v>#N/A</v>
      </c>
      <c r="AT107" s="117" t="e">
        <f>IF($L$2="Yes",IFERROR((SUMIFS('DATA INPUT'!$E$3:$E$3000,'DATA INPUT'!$B$3:$B$3000,'Report Tables'!AT$1,'DATA INPUT'!$A$3:$A$3000,"&gt;="&amp;DATE(2025,9,1),'DATA INPUT'!$A$3:$A$3000,"&lt;"&amp;DATE(2025,9,31)))/COUNTIFS('DATA INPUT'!$B$3:$B$3000,'Report Tables'!AT$1,'DATA INPUT'!$A$3:$A$3000,"&gt;="&amp;DATE(2025,9,1),'DATA INPUT'!$A$3:$A$3000,"&lt;"&amp;DATE(2025,9,31)),#N/A),IFERROR((SUMIFS('DATA INPUT'!$E$3:$E$3000,'DATA INPUT'!$B$3:$B$3000,'Report Tables'!AT$1,'DATA INPUT'!$A$3:$A$3000,"&gt;="&amp;DATE(2025,9,1),'DATA INPUT'!$A$3:$A$3000,"&lt;"&amp;DATE(2025,9,31),'DATA INPUT'!$F$3:$F$3000,"&lt;&gt;*Exclude*"))/(COUNTIFS('DATA INPUT'!$B$3:$B$3000,'Report Tables'!AT$1,'DATA INPUT'!$A$3:$A$3000,"&gt;="&amp;DATE(2025,9,1),'DATA INPUT'!$A$3:$A$3000,"&lt;"&amp;DATE(2025,9,31),'DATA INPUT'!$F$3:$F$3000,"&lt;&gt;*Exclude*")),#N/A))</f>
        <v>#N/A</v>
      </c>
      <c r="AU107" s="117" t="e">
        <f t="shared" si="24"/>
        <v>#N/A</v>
      </c>
      <c r="AV107" s="117" t="e">
        <f>IF($L$2="Yes",IFERROR((SUMIFS('DATA INPUT'!$D$3:$D$3000,'DATA INPUT'!$A$3:$A$3000,"&gt;="&amp;DATE(2025,9,1),'DATA INPUT'!$A$3:$A$3000,"&lt;"&amp;DATE(2025,9,31),'DATA INPUT'!$G$3:$G$3000,"&lt;&gt;*School service*"))/COUNTIFS('DATA INPUT'!$A$3:$A$3000,"&gt;="&amp;DATE(2025,9,1),'DATA INPUT'!$A$3:$A$3000,"&lt;"&amp;DATE(2025,9,31),'DATA INPUT'!$G$3:$G$3000,"&lt;&gt;*School service*",'DATA INPUT'!$D$3:$D$3000,"&lt;&gt;"&amp;""),#N/A),IFERROR((SUMIFS('DATA INPUT'!$D$3:$D$3000,'DATA INPUT'!$A$3:$A$3000,"&gt;="&amp;DATE(2025,9,1),'DATA INPUT'!$A$3:$A$3000,"&lt;"&amp;DATE(2025,9,31),'DATA INPUT'!$F$3:$F$3000,"&lt;&gt;*Exclude*",'DATA INPUT'!$G$3:$G$3000,"&lt;&gt;*School service*"))/(COUNTIFS('DATA INPUT'!$A$3:$A$3000,"&gt;="&amp;DATE(2025,9,1),'DATA INPUT'!$A$3:$A$3000,"&lt;"&amp;DATE(2025,9,31),'DATA INPUT'!$F$3:$F$3000,"&lt;&gt;*Exclude*",'DATA INPUT'!$G$3:$G$3000,"&lt;&gt;*School service*",'DATA INPUT'!$D$3:$D$3000,"&lt;&gt;"&amp;"")),#N/A))</f>
        <v>#N/A</v>
      </c>
      <c r="AW107" s="117" t="e">
        <f t="shared" si="25"/>
        <v>#N/A</v>
      </c>
      <c r="AX107" s="117" t="e">
        <f>IF($L$2="Yes",IFERROR((SUMIFS('DATA INPUT'!$E$3:$E$3000,'DATA INPUT'!$B$3:$B$3000,'Report Tables'!AX$1,'DATA INPUT'!$A$3:$A$3000,"&gt;="&amp;DATE(2025,9,1),'DATA INPUT'!$A$3:$A$3000,"&lt;"&amp;DATE(2025,9,31)))/COUNTIFS('DATA INPUT'!$B$3:$B$3000,'Report Tables'!AX$1,'DATA INPUT'!$A$3:$A$3000,"&gt;="&amp;DATE(2025,9,1),'DATA INPUT'!$A$3:$A$3000,"&lt;"&amp;DATE(2025,9,31)),#N/A),IFERROR((SUMIFS('DATA INPUT'!$E$3:$E$3000,'DATA INPUT'!$B$3:$B$3000,'Report Tables'!AX$1,'DATA INPUT'!$A$3:$A$3000,"&gt;="&amp;DATE(2025,9,1),'DATA INPUT'!$A$3:$A$3000,"&lt;"&amp;DATE(2025,9,31),'DATA INPUT'!$F$3:$F$3000,"&lt;&gt;*Exclude*"))/(COUNTIFS('DATA INPUT'!$B$3:$B$3000,'Report Tables'!AX$1,'DATA INPUT'!$A$3:$A$3000,"&gt;="&amp;DATE(2025,9,1),'DATA INPUT'!$A$3:$A$3000,"&lt;"&amp;DATE(2025,9,31),'DATA INPUT'!$F$3:$F$3000,"&lt;&gt;*Exclude*")),#N/A))</f>
        <v>#N/A</v>
      </c>
      <c r="AY107" s="117" t="e">
        <f>IF($L$2="Yes",IFERROR((SUMIFS('DATA INPUT'!$D$3:$D$3000,'DATA INPUT'!$B$3:$B$3000,'Report Tables'!AX$1,'DATA INPUT'!$A$3:$A$3000,"&gt;="&amp;DATE(2025,9,1),'DATA INPUT'!$A$3:$A$3000,"&lt;"&amp;DATE(2025,9,31)))/COUNTIFS('DATA INPUT'!$B$3:$B$3000,'Report Tables'!AX$1,'DATA INPUT'!$A$3:$A$3000,"&gt;="&amp;DATE(2025,9,1),'DATA INPUT'!$A$3:$A$3000,"&lt;"&amp;DATE(2025,9,31)),#N/A),IFERROR((SUMIFS('DATA INPUT'!$D$3:$D$3000,'DATA INPUT'!$B$3:$B$3000,'Report Tables'!AX$1,'DATA INPUT'!$A$3:$A$3000,"&gt;="&amp;DATE(2025,9,1),'DATA INPUT'!$A$3:$A$3000,"&lt;"&amp;DATE(2025,9,31),'DATA INPUT'!$F$3:$F$3000,"&lt;&gt;*Exclude*"))/(COUNTIFS('DATA INPUT'!$B$3:$B$3000,'Report Tables'!AX$1,'DATA INPUT'!$A$3:$A$3000,"&gt;="&amp;DATE(2025,9,1),'DATA INPUT'!$A$3:$A$3000,"&lt;"&amp;DATE(2025,9,31),'DATA INPUT'!$F$3:$F$3000,"&lt;&gt;*Exclude*")),#N/A))</f>
        <v>#N/A</v>
      </c>
      <c r="AZ107" s="117" t="e">
        <f>IF($L$2="Yes",IFERROR((SUMIFS('DATA INPUT'!$C$3:$C$3000,'DATA INPUT'!$B$3:$B$3000,'Report Tables'!AX$1,'DATA INPUT'!$A$3:$A$3000,"&gt;="&amp;DATE(2025,9,1),'DATA INPUT'!$A$3:$A$3000,"&lt;"&amp;DATE(2025,9,31)))/COUNTIFS('DATA INPUT'!$B$3:$B$3000,'Report Tables'!AX$1,'DATA INPUT'!$A$3:$A$3000,"&gt;="&amp;DATE(2025,9,1),'DATA INPUT'!$A$3:$A$3000,"&lt;"&amp;DATE(2025,9,31)),#N/A),IFERROR((SUMIFS('DATA INPUT'!$C$3:$C$3000,'DATA INPUT'!$B$3:$B$3000,'Report Tables'!AX$1,'DATA INPUT'!$A$3:$A$3000,"&gt;="&amp;DATE(2025,9,1),'DATA INPUT'!$A$3:$A$3000,"&lt;"&amp;DATE(2025,9,31),'DATA INPUT'!$F$3:$F$3000,"&lt;&gt;*Exclude*"))/(COUNTIFS('DATA INPUT'!$B$3:$B$3000,'Report Tables'!AX$1,'DATA INPUT'!$A$3:$A$3000,"&gt;="&amp;DATE(2025,9,1),'DATA INPUT'!$A$3:$A$3000,"&lt;"&amp;DATE(2025,9,31),'DATA INPUT'!$F$3:$F$3000,"&lt;&gt;*Exclude*")),#N/A))</f>
        <v>#N/A</v>
      </c>
    </row>
    <row r="108" spans="25:52" x14ac:dyDescent="0.3">
      <c r="Y108" s="149"/>
      <c r="Z108" s="149" t="s">
        <v>21</v>
      </c>
      <c r="AA108" s="136" t="e">
        <f>IF($L$2="Yes",IF(SUMIFS('DATA INPUT'!$E$3:$E$3000,'DATA INPUT'!$B$3:$B$3000,'Report Tables'!AA$1,'DATA INPUT'!$A$3:$A$3000,"&gt;="&amp;DATE(2025,10,1),'DATA INPUT'!$A$3:$A$3000,"&lt;"&amp;DATE(2025,10,31))=0,#N/A,(SUMIFS('DATA INPUT'!$E$3:$E$3000,'DATA INPUT'!$B$3:$B$3000,'Report Tables'!AA$1,'DATA INPUT'!$A$3:$A$3000,"&gt;="&amp;DATE(2025,10,1),'DATA INPUT'!$A$3:$A$3000,"&lt;"&amp;DATE(2025,10,31)))),IF(SUMIFS('DATA INPUT'!$E$3:$E$3000,'DATA INPUT'!$B$3:$B$3000,'Report Tables'!AA$1,'DATA INPUT'!$A$3:$A$3000,"&gt;="&amp;DATE(2025,10,1),'DATA INPUT'!$A$3:$A$3000,"&lt;"&amp;DATE(2025,10,31),'DATA INPUT'!$F$3:$F$3000,"&lt;&gt;*Exclude*")=0,#N/A,(SUMIFS('DATA INPUT'!$E$3:$E$3000,'DATA INPUT'!$B$3:$B$3000,'Report Tables'!AA$1,'DATA INPUT'!$A$3:$A$3000,"&gt;="&amp;DATE(2025,10,1),'DATA INPUT'!$A$3:$A$3000,"&lt;"&amp;DATE(2025,10,31),'DATA INPUT'!$F$3:$F$3000,"&lt;&gt;*Exclude*"))))</f>
        <v>#N/A</v>
      </c>
      <c r="AB108" s="136" t="e">
        <f>IF($L$2="Yes",IF(SUMIFS('DATA INPUT'!$E$3:$E$3000,'DATA INPUT'!$B$3:$B$3000,'Report Tables'!AB$1,'DATA INPUT'!$A$3:$A$3000,"&gt;="&amp;DATE(2025,10,1),'DATA INPUT'!$A$3:$A$3000,"&lt;"&amp;DATE(2025,10,31))=0,#N/A,(SUMIFS('DATA INPUT'!$E$3:$E$3000,'DATA INPUT'!$B$3:$B$3000,'Report Tables'!AB$1,'DATA INPUT'!$A$3:$A$3000,"&gt;="&amp;DATE(2025,10,1),'DATA INPUT'!$A$3:$A$3000,"&lt;"&amp;DATE(2025,10,31)))),IF(SUMIFS('DATA INPUT'!$E$3:$E$3000,'DATA INPUT'!$B$3:$B$3000,'Report Tables'!AB$1,'DATA INPUT'!$A$3:$A$3000,"&gt;="&amp;DATE(2025,10,1),'DATA INPUT'!$A$3:$A$3000,"&lt;"&amp;DATE(2025,10,31),'DATA INPUT'!$F$3:$F$3000,"&lt;&gt;*Exclude*")=0,#N/A,(SUMIFS('DATA INPUT'!$E$3:$E$3000,'DATA INPUT'!$B$3:$B$3000,'Report Tables'!AB$1,'DATA INPUT'!$A$3:$A$3000,"&gt;="&amp;DATE(2025,10,1),'DATA INPUT'!$A$3:$A$3000,"&lt;"&amp;DATE(2025,10,31),'DATA INPUT'!$F$3:$F$3000,"&lt;&gt;*Exclude*"))))</f>
        <v>#N/A</v>
      </c>
      <c r="AC108" s="136" t="e">
        <f>IF($L$2="Yes",IF(SUMIFS('DATA INPUT'!$E$3:$E$3000,'DATA INPUT'!$B$3:$B$3000,'Report Tables'!AC$1,'DATA INPUT'!$A$3:$A$3000,"&gt;="&amp;DATE(2025,10,1),'DATA INPUT'!$A$3:$A$3000,"&lt;"&amp;DATE(2025,10,31))=0,#N/A,(SUMIFS('DATA INPUT'!$E$3:$E$3000,'DATA INPUT'!$B$3:$B$3000,'Report Tables'!AC$1,'DATA INPUT'!$A$3:$A$3000,"&gt;="&amp;DATE(2025,10,1),'DATA INPUT'!$A$3:$A$3000,"&lt;"&amp;DATE(2025,10,31)))),IF(SUMIFS('DATA INPUT'!$E$3:$E$3000,'DATA INPUT'!$B$3:$B$3000,'Report Tables'!AC$1,'DATA INPUT'!$A$3:$A$3000,"&gt;="&amp;DATE(2025,10,1),'DATA INPUT'!$A$3:$A$3000,"&lt;"&amp;DATE(2025,10,31),'DATA INPUT'!$F$3:$F$3000,"&lt;&gt;*Exclude*")=0,#N/A,(SUMIFS('DATA INPUT'!$E$3:$E$3000,'DATA INPUT'!$B$3:$B$3000,'Report Tables'!AC$1,'DATA INPUT'!$A$3:$A$3000,"&gt;="&amp;DATE(2025,10,1),'DATA INPUT'!$A$3:$A$3000,"&lt;"&amp;DATE(2025,10,31),'DATA INPUT'!$F$3:$F$3000,"&lt;&gt;*Exclude*"))))</f>
        <v>#N/A</v>
      </c>
      <c r="AD108" s="136" t="e">
        <f>IF($L$2="Yes",IF(SUMIFS('DATA INPUT'!$E$3:$E$3000,'DATA INPUT'!$B$3:$B$3000,'Report Tables'!AD$1,'DATA INPUT'!$A$3:$A$3000,"&gt;="&amp;DATE(2025,10,1),'DATA INPUT'!$A$3:$A$3000,"&lt;"&amp;DATE(2025,10,31))=0,#N/A,(SUMIFS('DATA INPUT'!$E$3:$E$3000,'DATA INPUT'!$B$3:$B$3000,'Report Tables'!AD$1,'DATA INPUT'!$A$3:$A$3000,"&gt;="&amp;DATE(2025,10,1),'DATA INPUT'!$A$3:$A$3000,"&lt;"&amp;DATE(2025,10,31)))),IF(SUMIFS('DATA INPUT'!$E$3:$E$3000,'DATA INPUT'!$B$3:$B$3000,'Report Tables'!AD$1,'DATA INPUT'!$A$3:$A$3000,"&gt;="&amp;DATE(2025,10,1),'DATA INPUT'!$A$3:$A$3000,"&lt;"&amp;DATE(2025,10,31),'DATA INPUT'!$F$3:$F$3000,"&lt;&gt;*Exclude*")=0,#N/A,(SUMIFS('DATA INPUT'!$E$3:$E$3000,'DATA INPUT'!$B$3:$B$3000,'Report Tables'!AD$1,'DATA INPUT'!$A$3:$A$3000,"&gt;="&amp;DATE(2025,10,1),'DATA INPUT'!$A$3:$A$3000,"&lt;"&amp;DATE(2025,10,31),'DATA INPUT'!$F$3:$F$3000,"&lt;&gt;*Exclude*"))))</f>
        <v>#N/A</v>
      </c>
      <c r="AE108" s="136" t="e">
        <f>IF($L$2="Yes",IF(SUMIFS('DATA INPUT'!$E$3:$E$3000,'DATA INPUT'!$B$3:$B$3000,'Report Tables'!AE$1,'DATA INPUT'!$A$3:$A$3000,"&gt;="&amp;DATE(2025,10,1),'DATA INPUT'!$A$3:$A$3000,"&lt;"&amp;DATE(2025,10,31))=0,#N/A,(SUMIFS('DATA INPUT'!$E$3:$E$3000,'DATA INPUT'!$B$3:$B$3000,'Report Tables'!AE$1,'DATA INPUT'!$A$3:$A$3000,"&gt;="&amp;DATE(2025,10,1),'DATA INPUT'!$A$3:$A$3000,"&lt;"&amp;DATE(2025,10,31)))),IF(SUMIFS('DATA INPUT'!$E$3:$E$3000,'DATA INPUT'!$B$3:$B$3000,'Report Tables'!AE$1,'DATA INPUT'!$A$3:$A$3000,"&gt;="&amp;DATE(2025,10,1),'DATA INPUT'!$A$3:$A$3000,"&lt;"&amp;DATE(2025,10,31),'DATA INPUT'!$F$3:$F$3000,"&lt;&gt;*Exclude*")=0,#N/A,(SUMIFS('DATA INPUT'!$E$3:$E$3000,'DATA INPUT'!$B$3:$B$3000,'Report Tables'!AE$1,'DATA INPUT'!$A$3:$A$3000,"&gt;="&amp;DATE(2025,10,1),'DATA INPUT'!$A$3:$A$3000,"&lt;"&amp;DATE(2025,10,31),'DATA INPUT'!$F$3:$F$3000,"&lt;&gt;*Exclude*"))))</f>
        <v>#N/A</v>
      </c>
      <c r="AF108" s="136" t="e">
        <f>IF($L$2="Yes",IF(SUMIFS('DATA INPUT'!$E$3:$E$3000,'DATA INPUT'!$B$3:$B$3000,'Report Tables'!AF$1,'DATA INPUT'!$A$3:$A$3000,"&gt;="&amp;DATE(2025,10,1),'DATA INPUT'!$A$3:$A$3000,"&lt;"&amp;DATE(2025,10,31))=0,#N/A,(SUMIFS('DATA INPUT'!$E$3:$E$3000,'DATA INPUT'!$B$3:$B$3000,'Report Tables'!AF$1,'DATA INPUT'!$A$3:$A$3000,"&gt;="&amp;DATE(2025,10,1),'DATA INPUT'!$A$3:$A$3000,"&lt;"&amp;DATE(2025,10,31)))),IF(SUMIFS('DATA INPUT'!$E$3:$E$3000,'DATA INPUT'!$B$3:$B$3000,'Report Tables'!AF$1,'DATA INPUT'!$A$3:$A$3000,"&gt;="&amp;DATE(2025,10,1),'DATA INPUT'!$A$3:$A$3000,"&lt;"&amp;DATE(2025,10,31),'DATA INPUT'!$F$3:$F$3000,"&lt;&gt;*Exclude*")=0,#N/A,(SUMIFS('DATA INPUT'!$E$3:$E$3000,'DATA INPUT'!$B$3:$B$3000,'Report Tables'!AF$1,'DATA INPUT'!$A$3:$A$3000,"&gt;="&amp;DATE(2025,10,1),'DATA INPUT'!$A$3:$A$3000,"&lt;"&amp;DATE(2025,10,31),'DATA INPUT'!$F$3:$F$3000,"&lt;&gt;*Exclude*"))))</f>
        <v>#N/A</v>
      </c>
      <c r="AG108" s="136" t="e">
        <f>IF($L$2="Yes",IF(SUMIFS('DATA INPUT'!$E$3:$E$3000,'DATA INPUT'!$B$3:$B$3000,'Report Tables'!AG$1,'DATA INPUT'!$A$3:$A$3000,"&gt;="&amp;DATE(2025,10,1),'DATA INPUT'!$A$3:$A$3000,"&lt;"&amp;DATE(2025,10,31))=0,#N/A,(SUMIFS('DATA INPUT'!$E$3:$E$3000,'DATA INPUT'!$B$3:$B$3000,'Report Tables'!AG$1,'DATA INPUT'!$A$3:$A$3000,"&gt;="&amp;DATE(2025,10,1),'DATA INPUT'!$A$3:$A$3000,"&lt;"&amp;DATE(2025,10,31)))),IF(SUMIFS('DATA INPUT'!$E$3:$E$3000,'DATA INPUT'!$B$3:$B$3000,'Report Tables'!AG$1,'DATA INPUT'!$A$3:$A$3000,"&gt;="&amp;DATE(2025,10,1),'DATA INPUT'!$A$3:$A$3000,"&lt;"&amp;DATE(2025,10,31),'DATA INPUT'!$F$3:$F$3000,"&lt;&gt;*Exclude*")=0,#N/A,(SUMIFS('DATA INPUT'!$E$3:$E$3000,'DATA INPUT'!$B$3:$B$3000,'Report Tables'!AG$1,'DATA INPUT'!$A$3:$A$3000,"&gt;="&amp;DATE(2025,10,1),'DATA INPUT'!$A$3:$A$3000,"&lt;"&amp;DATE(2025,10,31),'DATA INPUT'!$F$3:$F$3000,"&lt;&gt;*Exclude*"))))</f>
        <v>#N/A</v>
      </c>
      <c r="AH108" s="136" t="e">
        <f>IF($L$2="Yes",IF(SUMIFS('DATA INPUT'!$E$3:$E$3000,'DATA INPUT'!$B$3:$B$3000,'Report Tables'!AH$1,'DATA INPUT'!$A$3:$A$3000,"&gt;="&amp;DATE(2025,10,1),'DATA INPUT'!$A$3:$A$3000,"&lt;"&amp;DATE(2025,10,31))=0,#N/A,(SUMIFS('DATA INPUT'!$E$3:$E$3000,'DATA INPUT'!$B$3:$B$3000,'Report Tables'!AH$1,'DATA INPUT'!$A$3:$A$3000,"&gt;="&amp;DATE(2025,10,1),'DATA INPUT'!$A$3:$A$3000,"&lt;"&amp;DATE(2025,10,31)))),IF(SUMIFS('DATA INPUT'!$E$3:$E$3000,'DATA INPUT'!$B$3:$B$3000,'Report Tables'!AH$1,'DATA INPUT'!$A$3:$A$3000,"&gt;="&amp;DATE(2025,10,1),'DATA INPUT'!$A$3:$A$3000,"&lt;"&amp;DATE(2025,10,31),'DATA INPUT'!$F$3:$F$3000,"&lt;&gt;*Exclude*")=0,#N/A,(SUMIFS('DATA INPUT'!$E$3:$E$3000,'DATA INPUT'!$B$3:$B$3000,'Report Tables'!AH$1,'DATA INPUT'!$A$3:$A$3000,"&gt;="&amp;DATE(2025,10,1),'DATA INPUT'!$A$3:$A$3000,"&lt;"&amp;DATE(2025,10,31),'DATA INPUT'!$F$3:$F$3000,"&lt;&gt;*Exclude*"))))</f>
        <v>#N/A</v>
      </c>
      <c r="AI108" s="136" t="e">
        <f t="shared" si="23"/>
        <v>#N/A</v>
      </c>
      <c r="AJ108" s="136" t="e">
        <f>IF($L$2="Yes",IF(SUMIFS('DATA INPUT'!$D$3:$D$3000,'DATA INPUT'!$A$3:$A$3000,"&gt;="&amp;DATE(2025,10,1),'DATA INPUT'!$A$3:$A$3000,"&lt;"&amp;DATE(2025,10,31),'DATA INPUT'!$G$3:$G$3000,"&lt;&gt;*School service*")=0,#N/A,(SUMIFS('DATA INPUT'!$D$3:$D$3000,'DATA INPUT'!$A$3:$A$3000,"&gt;="&amp;DATE(2025,10,1),'DATA INPUT'!$A$3:$A$3000,"&lt;"&amp;DATE(2025,10,31),'DATA INPUT'!$G$3:$G$3000,"&lt;&gt;*School service*"))),IF(SUMIFS('DATA INPUT'!$D$3:$D$3000,'DATA INPUT'!$A$3:$A$3000,"&gt;="&amp;DATE(2025,10,1),'DATA INPUT'!$A$3:$A$3000,"&lt;"&amp;DATE(2025,10,31),'DATA INPUT'!$F$3:$F$3000,"&lt;&gt;*Exclude*",'DATA INPUT'!$G$3:$G$3000,"&lt;&gt;*School service*")=0,#N/A,(SUMIFS('DATA INPUT'!$D$3:$D$3000,'DATA INPUT'!$A$3:$A$3000,"&gt;="&amp;DATE(2025,10,1),'DATA INPUT'!$A$3:$A$3000,"&lt;"&amp;DATE(2025,10,31),'DATA INPUT'!$F$3:$F$3000,"&lt;&gt;*Exclude*",'DATA INPUT'!$G$3:$G$3000,"&lt;&gt;*School service*"))))</f>
        <v>#N/A</v>
      </c>
      <c r="AK108" s="136" t="e">
        <f>AI108-AJ108</f>
        <v>#N/A</v>
      </c>
      <c r="AM108" s="117" t="e">
        <f>IF($L$2="Yes",IFERROR((SUMIFS('DATA INPUT'!$E$3:$E$3000,'DATA INPUT'!$B$3:$B$3000,'Report Tables'!AM$1,'DATA INPUT'!$A$3:$A$3000,"&gt;="&amp;DATE(2025,10,1),'DATA INPUT'!$A$3:$A$3000,"&lt;"&amp;DATE(2025,10,31)))/COUNTIFS('DATA INPUT'!$B$3:$B$3000,'Report Tables'!AM$1,'DATA INPUT'!$A$3:$A$3000,"&gt;="&amp;DATE(2025,10,1),'DATA INPUT'!$A$3:$A$3000,"&lt;"&amp;DATE(2025,10,31)),#N/A),IFERROR((SUMIFS('DATA INPUT'!$E$3:$E$3000,'DATA INPUT'!$B$3:$B$3000,'Report Tables'!AM$1,'DATA INPUT'!$A$3:$A$3000,"&gt;="&amp;DATE(2025,10,1),'DATA INPUT'!$A$3:$A$3000,"&lt;"&amp;DATE(2025,10,31),'DATA INPUT'!$F$3:$F$3000,"&lt;&gt;*Exclude*"))/(COUNTIFS('DATA INPUT'!$B$3:$B$3000,'Report Tables'!AM$1,'DATA INPUT'!$A$3:$A$3000,"&gt;="&amp;DATE(2025,10,1),'DATA INPUT'!$A$3:$A$3000,"&lt;"&amp;DATE(2025,10,31),'DATA INPUT'!$F$3:$F$3000,"&lt;&gt;*Exclude*")),#N/A))</f>
        <v>#N/A</v>
      </c>
      <c r="AN108" s="117" t="e">
        <f>IF($L$2="Yes",IFERROR((SUMIFS('DATA INPUT'!$E$3:$E$3000,'DATA INPUT'!$B$3:$B$3000,'Report Tables'!AN$1,'DATA INPUT'!$A$3:$A$3000,"&gt;="&amp;DATE(2025,10,1),'DATA INPUT'!$A$3:$A$3000,"&lt;"&amp;DATE(2025,10,31)))/COUNTIFS('DATA INPUT'!$B$3:$B$3000,'Report Tables'!AN$1,'DATA INPUT'!$A$3:$A$3000,"&gt;="&amp;DATE(2025,10,1),'DATA INPUT'!$A$3:$A$3000,"&lt;"&amp;DATE(2025,10,31)),#N/A),IFERROR((SUMIFS('DATA INPUT'!$E$3:$E$3000,'DATA INPUT'!$B$3:$B$3000,'Report Tables'!AN$1,'DATA INPUT'!$A$3:$A$3000,"&gt;="&amp;DATE(2025,10,1),'DATA INPUT'!$A$3:$A$3000,"&lt;"&amp;DATE(2025,10,31),'DATA INPUT'!$F$3:$F$3000,"&lt;&gt;*Exclude*"))/(COUNTIFS('DATA INPUT'!$B$3:$B$3000,'Report Tables'!AN$1,'DATA INPUT'!$A$3:$A$3000,"&gt;="&amp;DATE(2025,10,1),'DATA INPUT'!$A$3:$A$3000,"&lt;"&amp;DATE(2025,10,31),'DATA INPUT'!$F$3:$F$3000,"&lt;&gt;*Exclude*")),#N/A))</f>
        <v>#N/A</v>
      </c>
      <c r="AO108" s="117" t="e">
        <f>IF($L$2="Yes",IFERROR((SUMIFS('DATA INPUT'!$E$3:$E$3000,'DATA INPUT'!$B$3:$B$3000,'Report Tables'!AO$1,'DATA INPUT'!$A$3:$A$3000,"&gt;="&amp;DATE(2025,10,1),'DATA INPUT'!$A$3:$A$3000,"&lt;"&amp;DATE(2025,10,31)))/COUNTIFS('DATA INPUT'!$B$3:$B$3000,'Report Tables'!AO$1,'DATA INPUT'!$A$3:$A$3000,"&gt;="&amp;DATE(2025,10,1),'DATA INPUT'!$A$3:$A$3000,"&lt;"&amp;DATE(2025,10,31)),#N/A),IFERROR((SUMIFS('DATA INPUT'!$E$3:$E$3000,'DATA INPUT'!$B$3:$B$3000,'Report Tables'!AO$1,'DATA INPUT'!$A$3:$A$3000,"&gt;="&amp;DATE(2025,10,1),'DATA INPUT'!$A$3:$A$3000,"&lt;"&amp;DATE(2025,10,31),'DATA INPUT'!$F$3:$F$3000,"&lt;&gt;*Exclude*"))/(COUNTIFS('DATA INPUT'!$B$3:$B$3000,'Report Tables'!AO$1,'DATA INPUT'!$A$3:$A$3000,"&gt;="&amp;DATE(2025,10,1),'DATA INPUT'!$A$3:$A$3000,"&lt;"&amp;DATE(2025,10,31),'DATA INPUT'!$F$3:$F$3000,"&lt;&gt;*Exclude*")),#N/A))</f>
        <v>#N/A</v>
      </c>
      <c r="AP108" s="117" t="e">
        <f>IF($L$2="Yes",IFERROR((SUMIFS('DATA INPUT'!$E$3:$E$3000,'DATA INPUT'!$B$3:$B$3000,'Report Tables'!AP$1,'DATA INPUT'!$A$3:$A$3000,"&gt;="&amp;DATE(2025,10,1),'DATA INPUT'!$A$3:$A$3000,"&lt;"&amp;DATE(2025,10,31)))/COUNTIFS('DATA INPUT'!$B$3:$B$3000,'Report Tables'!AP$1,'DATA INPUT'!$A$3:$A$3000,"&gt;="&amp;DATE(2025,10,1),'DATA INPUT'!$A$3:$A$3000,"&lt;"&amp;DATE(2025,10,31)),#N/A),IFERROR((SUMIFS('DATA INPUT'!$E$3:$E$3000,'DATA INPUT'!$B$3:$B$3000,'Report Tables'!AP$1,'DATA INPUT'!$A$3:$A$3000,"&gt;="&amp;DATE(2025,10,1),'DATA INPUT'!$A$3:$A$3000,"&lt;"&amp;DATE(2025,10,31),'DATA INPUT'!$F$3:$F$3000,"&lt;&gt;*Exclude*"))/(COUNTIFS('DATA INPUT'!$B$3:$B$3000,'Report Tables'!AP$1,'DATA INPUT'!$A$3:$A$3000,"&gt;="&amp;DATE(2025,10,1),'DATA INPUT'!$A$3:$A$3000,"&lt;"&amp;DATE(2025,10,31),'DATA INPUT'!$F$3:$F$3000,"&lt;&gt;*Exclude*")),#N/A))</f>
        <v>#N/A</v>
      </c>
      <c r="AQ108" s="117" t="e">
        <f>IF($L$2="Yes",IFERROR((SUMIFS('DATA INPUT'!$E$3:$E$3000,'DATA INPUT'!$B$3:$B$3000,'Report Tables'!AQ$1,'DATA INPUT'!$A$3:$A$3000,"&gt;="&amp;DATE(2025,10,1),'DATA INPUT'!$A$3:$A$3000,"&lt;"&amp;DATE(2025,10,31)))/COUNTIFS('DATA INPUT'!$B$3:$B$3000,'Report Tables'!AQ$1,'DATA INPUT'!$A$3:$A$3000,"&gt;="&amp;DATE(2025,10,1),'DATA INPUT'!$A$3:$A$3000,"&lt;"&amp;DATE(2025,10,31)),#N/A),IFERROR((SUMIFS('DATA INPUT'!$E$3:$E$3000,'DATA INPUT'!$B$3:$B$3000,'Report Tables'!AQ$1,'DATA INPUT'!$A$3:$A$3000,"&gt;="&amp;DATE(2025,10,1),'DATA INPUT'!$A$3:$A$3000,"&lt;"&amp;DATE(2025,10,31),'DATA INPUT'!$F$3:$F$3000,"&lt;&gt;*Exclude*"))/(COUNTIFS('DATA INPUT'!$B$3:$B$3000,'Report Tables'!AQ$1,'DATA INPUT'!$A$3:$A$3000,"&gt;="&amp;DATE(2025,10,1),'DATA INPUT'!$A$3:$A$3000,"&lt;"&amp;DATE(2025,10,31),'DATA INPUT'!$F$3:$F$3000,"&lt;&gt;*Exclude*")),#N/A))</f>
        <v>#N/A</v>
      </c>
      <c r="AR108" s="117" t="e">
        <f>IF($L$2="Yes",IFERROR((SUMIFS('DATA INPUT'!$E$3:$E$3000,'DATA INPUT'!$B$3:$B$3000,'Report Tables'!AR$1,'DATA INPUT'!$A$3:$A$3000,"&gt;="&amp;DATE(2025,10,1),'DATA INPUT'!$A$3:$A$3000,"&lt;"&amp;DATE(2025,10,31)))/COUNTIFS('DATA INPUT'!$B$3:$B$3000,'Report Tables'!AR$1,'DATA INPUT'!$A$3:$A$3000,"&gt;="&amp;DATE(2025,10,1),'DATA INPUT'!$A$3:$A$3000,"&lt;"&amp;DATE(2025,10,31)),#N/A),IFERROR((SUMIFS('DATA INPUT'!$E$3:$E$3000,'DATA INPUT'!$B$3:$B$3000,'Report Tables'!AR$1,'DATA INPUT'!$A$3:$A$3000,"&gt;="&amp;DATE(2025,10,1),'DATA INPUT'!$A$3:$A$3000,"&lt;"&amp;DATE(2025,10,31),'DATA INPUT'!$F$3:$F$3000,"&lt;&gt;*Exclude*"))/(COUNTIFS('DATA INPUT'!$B$3:$B$3000,'Report Tables'!AR$1,'DATA INPUT'!$A$3:$A$3000,"&gt;="&amp;DATE(2025,10,1),'DATA INPUT'!$A$3:$A$3000,"&lt;"&amp;DATE(2025,10,31),'DATA INPUT'!$F$3:$F$3000,"&lt;&gt;*Exclude*")),#N/A))</f>
        <v>#N/A</v>
      </c>
      <c r="AS108" s="117" t="e">
        <f>IF($L$2="Yes",IFERROR((SUMIFS('DATA INPUT'!$E$3:$E$3000,'DATA INPUT'!$B$3:$B$3000,'Report Tables'!AS$1,'DATA INPUT'!$A$3:$A$3000,"&gt;="&amp;DATE(2025,10,1),'DATA INPUT'!$A$3:$A$3000,"&lt;"&amp;DATE(2025,10,31)))/COUNTIFS('DATA INPUT'!$B$3:$B$3000,'Report Tables'!AS$1,'DATA INPUT'!$A$3:$A$3000,"&gt;="&amp;DATE(2025,10,1),'DATA INPUT'!$A$3:$A$3000,"&lt;"&amp;DATE(2025,10,31)),#N/A),IFERROR((SUMIFS('DATA INPUT'!$E$3:$E$3000,'DATA INPUT'!$B$3:$B$3000,'Report Tables'!AS$1,'DATA INPUT'!$A$3:$A$3000,"&gt;="&amp;DATE(2025,10,1),'DATA INPUT'!$A$3:$A$3000,"&lt;"&amp;DATE(2025,10,31),'DATA INPUT'!$F$3:$F$3000,"&lt;&gt;*Exclude*"))/(COUNTIFS('DATA INPUT'!$B$3:$B$3000,'Report Tables'!AS$1,'DATA INPUT'!$A$3:$A$3000,"&gt;="&amp;DATE(2025,10,1),'DATA INPUT'!$A$3:$A$3000,"&lt;"&amp;DATE(2025,10,31),'DATA INPUT'!$F$3:$F$3000,"&lt;&gt;*Exclude*")),#N/A))</f>
        <v>#N/A</v>
      </c>
      <c r="AT108" s="117" t="e">
        <f>IF($L$2="Yes",IFERROR((SUMIFS('DATA INPUT'!$E$3:$E$3000,'DATA INPUT'!$B$3:$B$3000,'Report Tables'!AT$1,'DATA INPUT'!$A$3:$A$3000,"&gt;="&amp;DATE(2025,10,1),'DATA INPUT'!$A$3:$A$3000,"&lt;"&amp;DATE(2025,10,31)))/COUNTIFS('DATA INPUT'!$B$3:$B$3000,'Report Tables'!AT$1,'DATA INPUT'!$A$3:$A$3000,"&gt;="&amp;DATE(2025,10,1),'DATA INPUT'!$A$3:$A$3000,"&lt;"&amp;DATE(2025,10,31)),#N/A),IFERROR((SUMIFS('DATA INPUT'!$E$3:$E$3000,'DATA INPUT'!$B$3:$B$3000,'Report Tables'!AT$1,'DATA INPUT'!$A$3:$A$3000,"&gt;="&amp;DATE(2025,10,1),'DATA INPUT'!$A$3:$A$3000,"&lt;"&amp;DATE(2025,10,31),'DATA INPUT'!$F$3:$F$3000,"&lt;&gt;*Exclude*"))/(COUNTIFS('DATA INPUT'!$B$3:$B$3000,'Report Tables'!AT$1,'DATA INPUT'!$A$3:$A$3000,"&gt;="&amp;DATE(2025,10,1),'DATA INPUT'!$A$3:$A$3000,"&lt;"&amp;DATE(2025,10,31),'DATA INPUT'!$F$3:$F$3000,"&lt;&gt;*Exclude*")),#N/A))</f>
        <v>#N/A</v>
      </c>
      <c r="AU108" s="117" t="e">
        <f t="shared" si="24"/>
        <v>#N/A</v>
      </c>
      <c r="AV108" s="117" t="e">
        <f>IF($L$2="Yes",IFERROR((SUMIFS('DATA INPUT'!$D$3:$D$3000,'DATA INPUT'!$A$3:$A$3000,"&gt;="&amp;DATE(2025,10,1),'DATA INPUT'!$A$3:$A$3000,"&lt;"&amp;DATE(2025,10,31),'DATA INPUT'!$G$3:$G$3000,"&lt;&gt;*School service*"))/COUNTIFS('DATA INPUT'!$A$3:$A$3000,"&gt;="&amp;DATE(2025,10,1),'DATA INPUT'!$A$3:$A$3000,"&lt;"&amp;DATE(2025,10,31),'DATA INPUT'!$G$3:$G$3000,"&lt;&gt;*School service*",'DATA INPUT'!$D$3:$D$3000,"&lt;&gt;"&amp;""),#N/A),IFERROR((SUMIFS('DATA INPUT'!$D$3:$D$3000,'DATA INPUT'!$A$3:$A$3000,"&gt;="&amp;DATE(2025,10,1),'DATA INPUT'!$A$3:$A$3000,"&lt;"&amp;DATE(2025,10,31),'DATA INPUT'!$F$3:$F$3000,"&lt;&gt;*Exclude*",'DATA INPUT'!$G$3:$G$3000,"&lt;&gt;*School service*"))/(COUNTIFS('DATA INPUT'!$A$3:$A$3000,"&gt;="&amp;DATE(2025,10,1),'DATA INPUT'!$A$3:$A$3000,"&lt;"&amp;DATE(2025,10,31),'DATA INPUT'!$F$3:$F$3000,"&lt;&gt;*Exclude*",'DATA INPUT'!$G$3:$G$3000,"&lt;&gt;*School service*",'DATA INPUT'!$D$3:$D$3000,"&lt;&gt;"&amp;"")),#N/A))</f>
        <v>#N/A</v>
      </c>
      <c r="AW108" s="117" t="e">
        <f t="shared" si="25"/>
        <v>#N/A</v>
      </c>
      <c r="AX108" s="117" t="e">
        <f>IF($L$2="Yes",IFERROR((SUMIFS('DATA INPUT'!$E$3:$E$3000,'DATA INPUT'!$B$3:$B$3000,'Report Tables'!AX$1,'DATA INPUT'!$A$3:$A$3000,"&gt;="&amp;DATE(2025,10,1),'DATA INPUT'!$A$3:$A$3000,"&lt;"&amp;DATE(2025,10,31)))/COUNTIFS('DATA INPUT'!$B$3:$B$3000,'Report Tables'!AX$1,'DATA INPUT'!$A$3:$A$3000,"&gt;="&amp;DATE(2025,10,1),'DATA INPUT'!$A$3:$A$3000,"&lt;"&amp;DATE(2025,10,31)),#N/A),IFERROR((SUMIFS('DATA INPUT'!$E$3:$E$3000,'DATA INPUT'!$B$3:$B$3000,'Report Tables'!AX$1,'DATA INPUT'!$A$3:$A$3000,"&gt;="&amp;DATE(2025,10,1),'DATA INPUT'!$A$3:$A$3000,"&lt;"&amp;DATE(2025,10,31),'DATA INPUT'!$F$3:$F$3000,"&lt;&gt;*Exclude*"))/(COUNTIFS('DATA INPUT'!$B$3:$B$3000,'Report Tables'!AX$1,'DATA INPUT'!$A$3:$A$3000,"&gt;="&amp;DATE(2025,10,1),'DATA INPUT'!$A$3:$A$3000,"&lt;"&amp;DATE(2025,10,31),'DATA INPUT'!$F$3:$F$3000,"&lt;&gt;*Exclude*")),#N/A))</f>
        <v>#N/A</v>
      </c>
      <c r="AY108" s="117" t="e">
        <f>IF($L$2="Yes",IFERROR((SUMIFS('DATA INPUT'!$D$3:$D$3000,'DATA INPUT'!$B$3:$B$3000,'Report Tables'!AX$1,'DATA INPUT'!$A$3:$A$3000,"&gt;="&amp;DATE(2025,10,1),'DATA INPUT'!$A$3:$A$3000,"&lt;"&amp;DATE(2025,10,31)))/COUNTIFS('DATA INPUT'!$B$3:$B$3000,'Report Tables'!AX$1,'DATA INPUT'!$A$3:$A$3000,"&gt;="&amp;DATE(2025,10,1),'DATA INPUT'!$A$3:$A$3000,"&lt;"&amp;DATE(2025,10,31)),#N/A),IFERROR((SUMIFS('DATA INPUT'!$D$3:$D$3000,'DATA INPUT'!$B$3:$B$3000,'Report Tables'!AX$1,'DATA INPUT'!$A$3:$A$3000,"&gt;="&amp;DATE(2025,10,1),'DATA INPUT'!$A$3:$A$3000,"&lt;"&amp;DATE(2025,10,31),'DATA INPUT'!$F$3:$F$3000,"&lt;&gt;*Exclude*"))/(COUNTIFS('DATA INPUT'!$B$3:$B$3000,'Report Tables'!AX$1,'DATA INPUT'!$A$3:$A$3000,"&gt;="&amp;DATE(2025,10,1),'DATA INPUT'!$A$3:$A$3000,"&lt;"&amp;DATE(2025,10,31),'DATA INPUT'!$F$3:$F$3000,"&lt;&gt;*Exclude*")),#N/A))</f>
        <v>#N/A</v>
      </c>
      <c r="AZ108" s="117" t="e">
        <f>IF($L$2="Yes",IFERROR((SUMIFS('DATA INPUT'!$C$3:$C$3000,'DATA INPUT'!$B$3:$B$3000,'Report Tables'!AX$1,'DATA INPUT'!$A$3:$A$3000,"&gt;="&amp;DATE(2025,10,1),'DATA INPUT'!$A$3:$A$3000,"&lt;"&amp;DATE(2025,10,31)))/COUNTIFS('DATA INPUT'!$B$3:$B$3000,'Report Tables'!AX$1,'DATA INPUT'!$A$3:$A$3000,"&gt;="&amp;DATE(2025,10,1),'DATA INPUT'!$A$3:$A$3000,"&lt;"&amp;DATE(2025,10,31)),#N/A),IFERROR((SUMIFS('DATA INPUT'!$C$3:$C$3000,'DATA INPUT'!$B$3:$B$3000,'Report Tables'!AX$1,'DATA INPUT'!$A$3:$A$3000,"&gt;="&amp;DATE(2025,10,1),'DATA INPUT'!$A$3:$A$3000,"&lt;"&amp;DATE(2025,10,31),'DATA INPUT'!$F$3:$F$3000,"&lt;&gt;*Exclude*"))/(COUNTIFS('DATA INPUT'!$B$3:$B$3000,'Report Tables'!AX$1,'DATA INPUT'!$A$3:$A$3000,"&gt;="&amp;DATE(2025,10,1),'DATA INPUT'!$A$3:$A$3000,"&lt;"&amp;DATE(2025,10,31),'DATA INPUT'!$F$3:$F$3000,"&lt;&gt;*Exclude*")),#N/A))</f>
        <v>#N/A</v>
      </c>
    </row>
    <row r="109" spans="25:52" x14ac:dyDescent="0.3">
      <c r="Y109" s="149"/>
      <c r="Z109" s="149" t="s">
        <v>22</v>
      </c>
      <c r="AA109" s="136" t="e">
        <f>IF($L$2="Yes",IF(SUMIFS('DATA INPUT'!$E$3:$E$3000,'DATA INPUT'!$B$3:$B$3000,'Report Tables'!AA$1,'DATA INPUT'!$A$3:$A$3000,"&gt;="&amp;DATE(2025,11,1),'DATA INPUT'!$A$3:$A$3000,"&lt;"&amp;DATE(2025,11,31))=0,#N/A,(SUMIFS('DATA INPUT'!$E$3:$E$3000,'DATA INPUT'!$B$3:$B$3000,'Report Tables'!AA$1,'DATA INPUT'!$A$3:$A$3000,"&gt;="&amp;DATE(2025,11,1),'DATA INPUT'!$A$3:$A$3000,"&lt;"&amp;DATE(2025,11,31)))),IF(SUMIFS('DATA INPUT'!$E$3:$E$3000,'DATA INPUT'!$B$3:$B$3000,'Report Tables'!AA$1,'DATA INPUT'!$A$3:$A$3000,"&gt;="&amp;DATE(2025,11,1),'DATA INPUT'!$A$3:$A$3000,"&lt;"&amp;DATE(2025,11,31),'DATA INPUT'!$F$3:$F$3000,"&lt;&gt;*Exclude*")=0,#N/A,(SUMIFS('DATA INPUT'!$E$3:$E$3000,'DATA INPUT'!$B$3:$B$3000,'Report Tables'!AA$1,'DATA INPUT'!$A$3:$A$3000,"&gt;="&amp;DATE(2025,11,1),'DATA INPUT'!$A$3:$A$3000,"&lt;"&amp;DATE(2025,11,31),'DATA INPUT'!$F$3:$F$3000,"&lt;&gt;*Exclude*"))))</f>
        <v>#N/A</v>
      </c>
      <c r="AB109" s="136" t="e">
        <f>IF($L$2="Yes",IF(SUMIFS('DATA INPUT'!$E$3:$E$3000,'DATA INPUT'!$B$3:$B$3000,'Report Tables'!AB$1,'DATA INPUT'!$A$3:$A$3000,"&gt;="&amp;DATE(2025,11,1),'DATA INPUT'!$A$3:$A$3000,"&lt;"&amp;DATE(2025,11,31))=0,#N/A,(SUMIFS('DATA INPUT'!$E$3:$E$3000,'DATA INPUT'!$B$3:$B$3000,'Report Tables'!AB$1,'DATA INPUT'!$A$3:$A$3000,"&gt;="&amp;DATE(2025,11,1),'DATA INPUT'!$A$3:$A$3000,"&lt;"&amp;DATE(2025,11,31)))),IF(SUMIFS('DATA INPUT'!$E$3:$E$3000,'DATA INPUT'!$B$3:$B$3000,'Report Tables'!AB$1,'DATA INPUT'!$A$3:$A$3000,"&gt;="&amp;DATE(2025,11,1),'DATA INPUT'!$A$3:$A$3000,"&lt;"&amp;DATE(2025,11,31),'DATA INPUT'!$F$3:$F$3000,"&lt;&gt;*Exclude*")=0,#N/A,(SUMIFS('DATA INPUT'!$E$3:$E$3000,'DATA INPUT'!$B$3:$B$3000,'Report Tables'!AB$1,'DATA INPUT'!$A$3:$A$3000,"&gt;="&amp;DATE(2025,11,1),'DATA INPUT'!$A$3:$A$3000,"&lt;"&amp;DATE(2025,11,31),'DATA INPUT'!$F$3:$F$3000,"&lt;&gt;*Exclude*"))))</f>
        <v>#N/A</v>
      </c>
      <c r="AC109" s="136" t="e">
        <f>IF($L$2="Yes",IF(SUMIFS('DATA INPUT'!$E$3:$E$3000,'DATA INPUT'!$B$3:$B$3000,'Report Tables'!AC$1,'DATA INPUT'!$A$3:$A$3000,"&gt;="&amp;DATE(2025,11,1),'DATA INPUT'!$A$3:$A$3000,"&lt;"&amp;DATE(2025,11,31))=0,#N/A,(SUMIFS('DATA INPUT'!$E$3:$E$3000,'DATA INPUT'!$B$3:$B$3000,'Report Tables'!AC$1,'DATA INPUT'!$A$3:$A$3000,"&gt;="&amp;DATE(2025,11,1),'DATA INPUT'!$A$3:$A$3000,"&lt;"&amp;DATE(2025,11,31)))),IF(SUMIFS('DATA INPUT'!$E$3:$E$3000,'DATA INPUT'!$B$3:$B$3000,'Report Tables'!AC$1,'DATA INPUT'!$A$3:$A$3000,"&gt;="&amp;DATE(2025,11,1),'DATA INPUT'!$A$3:$A$3000,"&lt;"&amp;DATE(2025,11,31),'DATA INPUT'!$F$3:$F$3000,"&lt;&gt;*Exclude*")=0,#N/A,(SUMIFS('DATA INPUT'!$E$3:$E$3000,'DATA INPUT'!$B$3:$B$3000,'Report Tables'!AC$1,'DATA INPUT'!$A$3:$A$3000,"&gt;="&amp;DATE(2025,11,1),'DATA INPUT'!$A$3:$A$3000,"&lt;"&amp;DATE(2025,11,31),'DATA INPUT'!$F$3:$F$3000,"&lt;&gt;*Exclude*"))))</f>
        <v>#N/A</v>
      </c>
      <c r="AD109" s="136" t="e">
        <f>IF($L$2="Yes",IF(SUMIFS('DATA INPUT'!$E$3:$E$3000,'DATA INPUT'!$B$3:$B$3000,'Report Tables'!AD$1,'DATA INPUT'!$A$3:$A$3000,"&gt;="&amp;DATE(2025,11,1),'DATA INPUT'!$A$3:$A$3000,"&lt;"&amp;DATE(2025,11,31))=0,#N/A,(SUMIFS('DATA INPUT'!$E$3:$E$3000,'DATA INPUT'!$B$3:$B$3000,'Report Tables'!AD$1,'DATA INPUT'!$A$3:$A$3000,"&gt;="&amp;DATE(2025,11,1),'DATA INPUT'!$A$3:$A$3000,"&lt;"&amp;DATE(2025,11,31)))),IF(SUMIFS('DATA INPUT'!$E$3:$E$3000,'DATA INPUT'!$B$3:$B$3000,'Report Tables'!AD$1,'DATA INPUT'!$A$3:$A$3000,"&gt;="&amp;DATE(2025,11,1),'DATA INPUT'!$A$3:$A$3000,"&lt;"&amp;DATE(2025,11,31),'DATA INPUT'!$F$3:$F$3000,"&lt;&gt;*Exclude*")=0,#N/A,(SUMIFS('DATA INPUT'!$E$3:$E$3000,'DATA INPUT'!$B$3:$B$3000,'Report Tables'!AD$1,'DATA INPUT'!$A$3:$A$3000,"&gt;="&amp;DATE(2025,11,1),'DATA INPUT'!$A$3:$A$3000,"&lt;"&amp;DATE(2025,11,31),'DATA INPUT'!$F$3:$F$3000,"&lt;&gt;*Exclude*"))))</f>
        <v>#N/A</v>
      </c>
      <c r="AE109" s="136" t="e">
        <f>IF($L$2="Yes",IF(SUMIFS('DATA INPUT'!$E$3:$E$3000,'DATA INPUT'!$B$3:$B$3000,'Report Tables'!AE$1,'DATA INPUT'!$A$3:$A$3000,"&gt;="&amp;DATE(2025,11,1),'DATA INPUT'!$A$3:$A$3000,"&lt;"&amp;DATE(2025,11,31))=0,#N/A,(SUMIFS('DATA INPUT'!$E$3:$E$3000,'DATA INPUT'!$B$3:$B$3000,'Report Tables'!AE$1,'DATA INPUT'!$A$3:$A$3000,"&gt;="&amp;DATE(2025,11,1),'DATA INPUT'!$A$3:$A$3000,"&lt;"&amp;DATE(2025,11,31)))),IF(SUMIFS('DATA INPUT'!$E$3:$E$3000,'DATA INPUT'!$B$3:$B$3000,'Report Tables'!AE$1,'DATA INPUT'!$A$3:$A$3000,"&gt;="&amp;DATE(2025,11,1),'DATA INPUT'!$A$3:$A$3000,"&lt;"&amp;DATE(2025,11,31),'DATA INPUT'!$F$3:$F$3000,"&lt;&gt;*Exclude*")=0,#N/A,(SUMIFS('DATA INPUT'!$E$3:$E$3000,'DATA INPUT'!$B$3:$B$3000,'Report Tables'!AE$1,'DATA INPUT'!$A$3:$A$3000,"&gt;="&amp;DATE(2025,11,1),'DATA INPUT'!$A$3:$A$3000,"&lt;"&amp;DATE(2025,11,31),'DATA INPUT'!$F$3:$F$3000,"&lt;&gt;*Exclude*"))))</f>
        <v>#N/A</v>
      </c>
      <c r="AF109" s="136" t="e">
        <f>IF($L$2="Yes",IF(SUMIFS('DATA INPUT'!$E$3:$E$3000,'DATA INPUT'!$B$3:$B$3000,'Report Tables'!AF$1,'DATA INPUT'!$A$3:$A$3000,"&gt;="&amp;DATE(2025,11,1),'DATA INPUT'!$A$3:$A$3000,"&lt;"&amp;DATE(2025,11,31))=0,#N/A,(SUMIFS('DATA INPUT'!$E$3:$E$3000,'DATA INPUT'!$B$3:$B$3000,'Report Tables'!AF$1,'DATA INPUT'!$A$3:$A$3000,"&gt;="&amp;DATE(2025,11,1),'DATA INPUT'!$A$3:$A$3000,"&lt;"&amp;DATE(2025,11,31)))),IF(SUMIFS('DATA INPUT'!$E$3:$E$3000,'DATA INPUT'!$B$3:$B$3000,'Report Tables'!AF$1,'DATA INPUT'!$A$3:$A$3000,"&gt;="&amp;DATE(2025,11,1),'DATA INPUT'!$A$3:$A$3000,"&lt;"&amp;DATE(2025,11,31),'DATA INPUT'!$F$3:$F$3000,"&lt;&gt;*Exclude*")=0,#N/A,(SUMIFS('DATA INPUT'!$E$3:$E$3000,'DATA INPUT'!$B$3:$B$3000,'Report Tables'!AF$1,'DATA INPUT'!$A$3:$A$3000,"&gt;="&amp;DATE(2025,11,1),'DATA INPUT'!$A$3:$A$3000,"&lt;"&amp;DATE(2025,11,31),'DATA INPUT'!$F$3:$F$3000,"&lt;&gt;*Exclude*"))))</f>
        <v>#N/A</v>
      </c>
      <c r="AG109" s="136" t="e">
        <f>IF($L$2="Yes",IF(SUMIFS('DATA INPUT'!$E$3:$E$3000,'DATA INPUT'!$B$3:$B$3000,'Report Tables'!AG$1,'DATA INPUT'!$A$3:$A$3000,"&gt;="&amp;DATE(2025,11,1),'DATA INPUT'!$A$3:$A$3000,"&lt;"&amp;DATE(2025,11,31))=0,#N/A,(SUMIFS('DATA INPUT'!$E$3:$E$3000,'DATA INPUT'!$B$3:$B$3000,'Report Tables'!AG$1,'DATA INPUT'!$A$3:$A$3000,"&gt;="&amp;DATE(2025,11,1),'DATA INPUT'!$A$3:$A$3000,"&lt;"&amp;DATE(2025,11,31)))),IF(SUMIFS('DATA INPUT'!$E$3:$E$3000,'DATA INPUT'!$B$3:$B$3000,'Report Tables'!AG$1,'DATA INPUT'!$A$3:$A$3000,"&gt;="&amp;DATE(2025,11,1),'DATA INPUT'!$A$3:$A$3000,"&lt;"&amp;DATE(2025,11,31),'DATA INPUT'!$F$3:$F$3000,"&lt;&gt;*Exclude*")=0,#N/A,(SUMIFS('DATA INPUT'!$E$3:$E$3000,'DATA INPUT'!$B$3:$B$3000,'Report Tables'!AG$1,'DATA INPUT'!$A$3:$A$3000,"&gt;="&amp;DATE(2025,11,1),'DATA INPUT'!$A$3:$A$3000,"&lt;"&amp;DATE(2025,11,31),'DATA INPUT'!$F$3:$F$3000,"&lt;&gt;*Exclude*"))))</f>
        <v>#N/A</v>
      </c>
      <c r="AH109" s="136" t="e">
        <f>IF($L$2="Yes",IF(SUMIFS('DATA INPUT'!$E$3:$E$3000,'DATA INPUT'!$B$3:$B$3000,'Report Tables'!AH$1,'DATA INPUT'!$A$3:$A$3000,"&gt;="&amp;DATE(2025,11,1),'DATA INPUT'!$A$3:$A$3000,"&lt;"&amp;DATE(2025,11,31))=0,#N/A,(SUMIFS('DATA INPUT'!$E$3:$E$3000,'DATA INPUT'!$B$3:$B$3000,'Report Tables'!AH$1,'DATA INPUT'!$A$3:$A$3000,"&gt;="&amp;DATE(2025,11,1),'DATA INPUT'!$A$3:$A$3000,"&lt;"&amp;DATE(2025,11,31)))),IF(SUMIFS('DATA INPUT'!$E$3:$E$3000,'DATA INPUT'!$B$3:$B$3000,'Report Tables'!AH$1,'DATA INPUT'!$A$3:$A$3000,"&gt;="&amp;DATE(2025,11,1),'DATA INPUT'!$A$3:$A$3000,"&lt;"&amp;DATE(2025,11,31),'DATA INPUT'!$F$3:$F$3000,"&lt;&gt;*Exclude*")=0,#N/A,(SUMIFS('DATA INPUT'!$E$3:$E$3000,'DATA INPUT'!$B$3:$B$3000,'Report Tables'!AH$1,'DATA INPUT'!$A$3:$A$3000,"&gt;="&amp;DATE(2025,11,1),'DATA INPUT'!$A$3:$A$3000,"&lt;"&amp;DATE(2025,11,31),'DATA INPUT'!$F$3:$F$3000,"&lt;&gt;*Exclude*"))))</f>
        <v>#N/A</v>
      </c>
      <c r="AI109" s="136" t="e">
        <f t="shared" si="23"/>
        <v>#N/A</v>
      </c>
      <c r="AJ109" s="136" t="e">
        <f>IF($L$2="Yes",IF(SUMIFS('DATA INPUT'!$D$3:$D$3000,'DATA INPUT'!$A$3:$A$3000,"&gt;="&amp;DATE(2025,11,1),'DATA INPUT'!$A$3:$A$3000,"&lt;"&amp;DATE(2025,11,31),'DATA INPUT'!$G$3:$G$3000,"&lt;&gt;*School service*")=0,#N/A,(SUMIFS('DATA INPUT'!$D$3:$D$3000,'DATA INPUT'!$A$3:$A$3000,"&gt;="&amp;DATE(2025,11,1),'DATA INPUT'!$A$3:$A$3000,"&lt;"&amp;DATE(2025,11,31),'DATA INPUT'!$G$3:$G$3000,"&lt;&gt;*School service*"))),IF(SUMIFS('DATA INPUT'!$D$3:$D$3000,'DATA INPUT'!$A$3:$A$3000,"&gt;="&amp;DATE(2025,11,1),'DATA INPUT'!$A$3:$A$3000,"&lt;"&amp;DATE(2025,11,31),'DATA INPUT'!$F$3:$F$3000,"&lt;&gt;*Exclude*",'DATA INPUT'!$G$3:$G$3000,"&lt;&gt;*School service*")=0,#N/A,(SUMIFS('DATA INPUT'!$D$3:$D$3000,'DATA INPUT'!$A$3:$A$3000,"&gt;="&amp;DATE(2025,11,1),'DATA INPUT'!$A$3:$A$3000,"&lt;"&amp;DATE(2025,11,31),'DATA INPUT'!$F$3:$F$3000,"&lt;&gt;*Exclude*",'DATA INPUT'!$G$3:$G$3000,"&lt;&gt;*School service*"))))</f>
        <v>#N/A</v>
      </c>
      <c r="AK109" s="136" t="e">
        <f>AI109-AJ109</f>
        <v>#N/A</v>
      </c>
      <c r="AM109" s="117" t="e">
        <f>IF($L$2="Yes",IFERROR((SUMIFS('DATA INPUT'!$E$3:$E$3000,'DATA INPUT'!$B$3:$B$3000,'Report Tables'!AM$1,'DATA INPUT'!$A$3:$A$3000,"&gt;="&amp;DATE(2025,11,1),'DATA INPUT'!$A$3:$A$3000,"&lt;"&amp;DATE(2025,11,31)))/COUNTIFS('DATA INPUT'!$B$3:$B$3000,'Report Tables'!AM$1,'DATA INPUT'!$A$3:$A$3000,"&gt;="&amp;DATE(2025,11,1),'DATA INPUT'!$A$3:$A$3000,"&lt;"&amp;DATE(2025,11,31)),#N/A),IFERROR((SUMIFS('DATA INPUT'!$E$3:$E$3000,'DATA INPUT'!$B$3:$B$3000,'Report Tables'!AM$1,'DATA INPUT'!$A$3:$A$3000,"&gt;="&amp;DATE(2025,11,1),'DATA INPUT'!$A$3:$A$3000,"&lt;"&amp;DATE(2025,11,31),'DATA INPUT'!$F$3:$F$3000,"&lt;&gt;*Exclude*"))/(COUNTIFS('DATA INPUT'!$B$3:$B$3000,'Report Tables'!AM$1,'DATA INPUT'!$A$3:$A$3000,"&gt;="&amp;DATE(2025,11,1),'DATA INPUT'!$A$3:$A$3000,"&lt;"&amp;DATE(2025,11,31),'DATA INPUT'!$F$3:$F$3000,"&lt;&gt;*Exclude*")),#N/A))</f>
        <v>#N/A</v>
      </c>
      <c r="AN109" s="117" t="e">
        <f>IF($L$2="Yes",IFERROR((SUMIFS('DATA INPUT'!$E$3:$E$3000,'DATA INPUT'!$B$3:$B$3000,'Report Tables'!AN$1,'DATA INPUT'!$A$3:$A$3000,"&gt;="&amp;DATE(2025,11,1),'DATA INPUT'!$A$3:$A$3000,"&lt;"&amp;DATE(2025,11,31)))/COUNTIFS('DATA INPUT'!$B$3:$B$3000,'Report Tables'!AN$1,'DATA INPUT'!$A$3:$A$3000,"&gt;="&amp;DATE(2025,11,1),'DATA INPUT'!$A$3:$A$3000,"&lt;"&amp;DATE(2025,11,31)),#N/A),IFERROR((SUMIFS('DATA INPUT'!$E$3:$E$3000,'DATA INPUT'!$B$3:$B$3000,'Report Tables'!AN$1,'DATA INPUT'!$A$3:$A$3000,"&gt;="&amp;DATE(2025,11,1),'DATA INPUT'!$A$3:$A$3000,"&lt;"&amp;DATE(2025,11,31),'DATA INPUT'!$F$3:$F$3000,"&lt;&gt;*Exclude*"))/(COUNTIFS('DATA INPUT'!$B$3:$B$3000,'Report Tables'!AN$1,'DATA INPUT'!$A$3:$A$3000,"&gt;="&amp;DATE(2025,11,1),'DATA INPUT'!$A$3:$A$3000,"&lt;"&amp;DATE(2025,11,31),'DATA INPUT'!$F$3:$F$3000,"&lt;&gt;*Exclude*")),#N/A))</f>
        <v>#N/A</v>
      </c>
      <c r="AO109" s="117" t="e">
        <f>IF($L$2="Yes",IFERROR((SUMIFS('DATA INPUT'!$E$3:$E$3000,'DATA INPUT'!$B$3:$B$3000,'Report Tables'!AO$1,'DATA INPUT'!$A$3:$A$3000,"&gt;="&amp;DATE(2025,11,1),'DATA INPUT'!$A$3:$A$3000,"&lt;"&amp;DATE(2025,11,31)))/COUNTIFS('DATA INPUT'!$B$3:$B$3000,'Report Tables'!AO$1,'DATA INPUT'!$A$3:$A$3000,"&gt;="&amp;DATE(2025,11,1),'DATA INPUT'!$A$3:$A$3000,"&lt;"&amp;DATE(2025,11,31)),#N/A),IFERROR((SUMIFS('DATA INPUT'!$E$3:$E$3000,'DATA INPUT'!$B$3:$B$3000,'Report Tables'!AO$1,'DATA INPUT'!$A$3:$A$3000,"&gt;="&amp;DATE(2025,11,1),'DATA INPUT'!$A$3:$A$3000,"&lt;"&amp;DATE(2025,11,31),'DATA INPUT'!$F$3:$F$3000,"&lt;&gt;*Exclude*"))/(COUNTIFS('DATA INPUT'!$B$3:$B$3000,'Report Tables'!AO$1,'DATA INPUT'!$A$3:$A$3000,"&gt;="&amp;DATE(2025,11,1),'DATA INPUT'!$A$3:$A$3000,"&lt;"&amp;DATE(2025,11,31),'DATA INPUT'!$F$3:$F$3000,"&lt;&gt;*Exclude*")),#N/A))</f>
        <v>#N/A</v>
      </c>
      <c r="AP109" s="117" t="e">
        <f>IF($L$2="Yes",IFERROR((SUMIFS('DATA INPUT'!$E$3:$E$3000,'DATA INPUT'!$B$3:$B$3000,'Report Tables'!AP$1,'DATA INPUT'!$A$3:$A$3000,"&gt;="&amp;DATE(2025,11,1),'DATA INPUT'!$A$3:$A$3000,"&lt;"&amp;DATE(2025,11,31)))/COUNTIFS('DATA INPUT'!$B$3:$B$3000,'Report Tables'!AP$1,'DATA INPUT'!$A$3:$A$3000,"&gt;="&amp;DATE(2025,11,1),'DATA INPUT'!$A$3:$A$3000,"&lt;"&amp;DATE(2025,11,31)),#N/A),IFERROR((SUMIFS('DATA INPUT'!$E$3:$E$3000,'DATA INPUT'!$B$3:$B$3000,'Report Tables'!AP$1,'DATA INPUT'!$A$3:$A$3000,"&gt;="&amp;DATE(2025,11,1),'DATA INPUT'!$A$3:$A$3000,"&lt;"&amp;DATE(2025,11,31),'DATA INPUT'!$F$3:$F$3000,"&lt;&gt;*Exclude*"))/(COUNTIFS('DATA INPUT'!$B$3:$B$3000,'Report Tables'!AP$1,'DATA INPUT'!$A$3:$A$3000,"&gt;="&amp;DATE(2025,11,1),'DATA INPUT'!$A$3:$A$3000,"&lt;"&amp;DATE(2025,11,31),'DATA INPUT'!$F$3:$F$3000,"&lt;&gt;*Exclude*")),#N/A))</f>
        <v>#N/A</v>
      </c>
      <c r="AQ109" s="117" t="e">
        <f>IF($L$2="Yes",IFERROR((SUMIFS('DATA INPUT'!$E$3:$E$3000,'DATA INPUT'!$B$3:$B$3000,'Report Tables'!AQ$1,'DATA INPUT'!$A$3:$A$3000,"&gt;="&amp;DATE(2025,11,1),'DATA INPUT'!$A$3:$A$3000,"&lt;"&amp;DATE(2025,11,31)))/COUNTIFS('DATA INPUT'!$B$3:$B$3000,'Report Tables'!AQ$1,'DATA INPUT'!$A$3:$A$3000,"&gt;="&amp;DATE(2025,11,1),'DATA INPUT'!$A$3:$A$3000,"&lt;"&amp;DATE(2025,11,31)),#N/A),IFERROR((SUMIFS('DATA INPUT'!$E$3:$E$3000,'DATA INPUT'!$B$3:$B$3000,'Report Tables'!AQ$1,'DATA INPUT'!$A$3:$A$3000,"&gt;="&amp;DATE(2025,11,1),'DATA INPUT'!$A$3:$A$3000,"&lt;"&amp;DATE(2025,11,31),'DATA INPUT'!$F$3:$F$3000,"&lt;&gt;*Exclude*"))/(COUNTIFS('DATA INPUT'!$B$3:$B$3000,'Report Tables'!AQ$1,'DATA INPUT'!$A$3:$A$3000,"&gt;="&amp;DATE(2025,11,1),'DATA INPUT'!$A$3:$A$3000,"&lt;"&amp;DATE(2025,11,31),'DATA INPUT'!$F$3:$F$3000,"&lt;&gt;*Exclude*")),#N/A))</f>
        <v>#N/A</v>
      </c>
      <c r="AR109" s="117" t="e">
        <f>IF($L$2="Yes",IFERROR((SUMIFS('DATA INPUT'!$E$3:$E$3000,'DATA INPUT'!$B$3:$B$3000,'Report Tables'!AR$1,'DATA INPUT'!$A$3:$A$3000,"&gt;="&amp;DATE(2025,11,1),'DATA INPUT'!$A$3:$A$3000,"&lt;"&amp;DATE(2025,11,31)))/COUNTIFS('DATA INPUT'!$B$3:$B$3000,'Report Tables'!AR$1,'DATA INPUT'!$A$3:$A$3000,"&gt;="&amp;DATE(2025,11,1),'DATA INPUT'!$A$3:$A$3000,"&lt;"&amp;DATE(2025,11,31)),#N/A),IFERROR((SUMIFS('DATA INPUT'!$E$3:$E$3000,'DATA INPUT'!$B$3:$B$3000,'Report Tables'!AR$1,'DATA INPUT'!$A$3:$A$3000,"&gt;="&amp;DATE(2025,11,1),'DATA INPUT'!$A$3:$A$3000,"&lt;"&amp;DATE(2025,11,31),'DATA INPUT'!$F$3:$F$3000,"&lt;&gt;*Exclude*"))/(COUNTIFS('DATA INPUT'!$B$3:$B$3000,'Report Tables'!AR$1,'DATA INPUT'!$A$3:$A$3000,"&gt;="&amp;DATE(2025,11,1),'DATA INPUT'!$A$3:$A$3000,"&lt;"&amp;DATE(2025,11,31),'DATA INPUT'!$F$3:$F$3000,"&lt;&gt;*Exclude*")),#N/A))</f>
        <v>#N/A</v>
      </c>
      <c r="AS109" s="117" t="e">
        <f>IF($L$2="Yes",IFERROR((SUMIFS('DATA INPUT'!$E$3:$E$3000,'DATA INPUT'!$B$3:$B$3000,'Report Tables'!AS$1,'DATA INPUT'!$A$3:$A$3000,"&gt;="&amp;DATE(2025,11,1),'DATA INPUT'!$A$3:$A$3000,"&lt;"&amp;DATE(2025,11,31)))/COUNTIFS('DATA INPUT'!$B$3:$B$3000,'Report Tables'!AS$1,'DATA INPUT'!$A$3:$A$3000,"&gt;="&amp;DATE(2025,11,1),'DATA INPUT'!$A$3:$A$3000,"&lt;"&amp;DATE(2025,11,31)),#N/A),IFERROR((SUMIFS('DATA INPUT'!$E$3:$E$3000,'DATA INPUT'!$B$3:$B$3000,'Report Tables'!AS$1,'DATA INPUT'!$A$3:$A$3000,"&gt;="&amp;DATE(2025,11,1),'DATA INPUT'!$A$3:$A$3000,"&lt;"&amp;DATE(2025,11,31),'DATA INPUT'!$F$3:$F$3000,"&lt;&gt;*Exclude*"))/(COUNTIFS('DATA INPUT'!$B$3:$B$3000,'Report Tables'!AS$1,'DATA INPUT'!$A$3:$A$3000,"&gt;="&amp;DATE(2025,11,1),'DATA INPUT'!$A$3:$A$3000,"&lt;"&amp;DATE(2025,11,31),'DATA INPUT'!$F$3:$F$3000,"&lt;&gt;*Exclude*")),#N/A))</f>
        <v>#N/A</v>
      </c>
      <c r="AT109" s="117" t="e">
        <f>IF($L$2="Yes",IFERROR((SUMIFS('DATA INPUT'!$E$3:$E$3000,'DATA INPUT'!$B$3:$B$3000,'Report Tables'!AT$1,'DATA INPUT'!$A$3:$A$3000,"&gt;="&amp;DATE(2025,11,1),'DATA INPUT'!$A$3:$A$3000,"&lt;"&amp;DATE(2025,11,31)))/COUNTIFS('DATA INPUT'!$B$3:$B$3000,'Report Tables'!AT$1,'DATA INPUT'!$A$3:$A$3000,"&gt;="&amp;DATE(2025,11,1),'DATA INPUT'!$A$3:$A$3000,"&lt;"&amp;DATE(2025,11,31)),#N/A),IFERROR((SUMIFS('DATA INPUT'!$E$3:$E$3000,'DATA INPUT'!$B$3:$B$3000,'Report Tables'!AT$1,'DATA INPUT'!$A$3:$A$3000,"&gt;="&amp;DATE(2025,11,1),'DATA INPUT'!$A$3:$A$3000,"&lt;"&amp;DATE(2025,11,31),'DATA INPUT'!$F$3:$F$3000,"&lt;&gt;*Exclude*"))/(COUNTIFS('DATA INPUT'!$B$3:$B$3000,'Report Tables'!AT$1,'DATA INPUT'!$A$3:$A$3000,"&gt;="&amp;DATE(2025,11,1),'DATA INPUT'!$A$3:$A$3000,"&lt;"&amp;DATE(2025,11,31),'DATA INPUT'!$F$3:$F$3000,"&lt;&gt;*Exclude*")),#N/A))</f>
        <v>#N/A</v>
      </c>
      <c r="AU109" s="117" t="e">
        <f t="shared" si="24"/>
        <v>#N/A</v>
      </c>
      <c r="AV109" s="117" t="e">
        <f>IF($L$2="Yes",IFERROR((SUMIFS('DATA INPUT'!$D$3:$D$3000,'DATA INPUT'!$A$3:$A$3000,"&gt;="&amp;DATE(2025,11,1),'DATA INPUT'!$A$3:$A$3000,"&lt;"&amp;DATE(2025,11,31),'DATA INPUT'!$G$3:$G$3000,"&lt;&gt;*School service*"))/COUNTIFS('DATA INPUT'!$A$3:$A$3000,"&gt;="&amp;DATE(2025,11,1),'DATA INPUT'!$A$3:$A$3000,"&lt;"&amp;DATE(2025,11,31),'DATA INPUT'!$G$3:$G$3000,"&lt;&gt;*School service*",'DATA INPUT'!$D$3:$D$3000,"&lt;&gt;"&amp;""),#N/A),IFERROR((SUMIFS('DATA INPUT'!$D$3:$D$3000,'DATA INPUT'!$A$3:$A$3000,"&gt;="&amp;DATE(2025,11,1),'DATA INPUT'!$A$3:$A$3000,"&lt;"&amp;DATE(2025,11,31),'DATA INPUT'!$F$3:$F$3000,"&lt;&gt;*Exclude*",'DATA INPUT'!$G$3:$G$3000,"&lt;&gt;*School service*"))/(COUNTIFS('DATA INPUT'!$A$3:$A$3000,"&gt;="&amp;DATE(2025,11,1),'DATA INPUT'!$A$3:$A$3000,"&lt;"&amp;DATE(2025,11,31),'DATA INPUT'!$F$3:$F$3000,"&lt;&gt;*Exclude*",'DATA INPUT'!$G$3:$G$3000,"&lt;&gt;*School service*",'DATA INPUT'!$D$3:$D$3000,"&lt;&gt;"&amp;"")),#N/A))</f>
        <v>#N/A</v>
      </c>
      <c r="AW109" s="117" t="e">
        <f t="shared" si="25"/>
        <v>#N/A</v>
      </c>
      <c r="AX109" s="117" t="e">
        <f>IF($L$2="Yes",IFERROR((SUMIFS('DATA INPUT'!$E$3:$E$3000,'DATA INPUT'!$B$3:$B$3000,'Report Tables'!AX$1,'DATA INPUT'!$A$3:$A$3000,"&gt;="&amp;DATE(2025,11,1),'DATA INPUT'!$A$3:$A$3000,"&lt;"&amp;DATE(2025,11,31)))/COUNTIFS('DATA INPUT'!$B$3:$B$3000,'Report Tables'!AX$1,'DATA INPUT'!$A$3:$A$3000,"&gt;="&amp;DATE(2025,11,1),'DATA INPUT'!$A$3:$A$3000,"&lt;"&amp;DATE(2025,11,31)),#N/A),IFERROR((SUMIFS('DATA INPUT'!$E$3:$E$3000,'DATA INPUT'!$B$3:$B$3000,'Report Tables'!AX$1,'DATA INPUT'!$A$3:$A$3000,"&gt;="&amp;DATE(2025,11,1),'DATA INPUT'!$A$3:$A$3000,"&lt;"&amp;DATE(2025,11,31),'DATA INPUT'!$F$3:$F$3000,"&lt;&gt;*Exclude*"))/(COUNTIFS('DATA INPUT'!$B$3:$B$3000,'Report Tables'!AX$1,'DATA INPUT'!$A$3:$A$3000,"&gt;="&amp;DATE(2025,11,1),'DATA INPUT'!$A$3:$A$3000,"&lt;"&amp;DATE(2025,11,31),'DATA INPUT'!$F$3:$F$3000,"&lt;&gt;*Exclude*")),#N/A))</f>
        <v>#N/A</v>
      </c>
      <c r="AY109" s="117" t="e">
        <f>IF($L$2="Yes",IFERROR((SUMIFS('DATA INPUT'!$D$3:$D$3000,'DATA INPUT'!$B$3:$B$3000,'Report Tables'!AX$1,'DATA INPUT'!$A$3:$A$3000,"&gt;="&amp;DATE(2025,11,1),'DATA INPUT'!$A$3:$A$3000,"&lt;"&amp;DATE(2025,11,31)))/COUNTIFS('DATA INPUT'!$B$3:$B$3000,'Report Tables'!AX$1,'DATA INPUT'!$A$3:$A$3000,"&gt;="&amp;DATE(2025,11,1),'DATA INPUT'!$A$3:$A$3000,"&lt;"&amp;DATE(2025,11,31)),#N/A),IFERROR((SUMIFS('DATA INPUT'!$D$3:$D$3000,'DATA INPUT'!$B$3:$B$3000,'Report Tables'!AX$1,'DATA INPUT'!$A$3:$A$3000,"&gt;="&amp;DATE(2025,11,1),'DATA INPUT'!$A$3:$A$3000,"&lt;"&amp;DATE(2025,11,31),'DATA INPUT'!$F$3:$F$3000,"&lt;&gt;*Exclude*"))/(COUNTIFS('DATA INPUT'!$B$3:$B$3000,'Report Tables'!AX$1,'DATA INPUT'!$A$3:$A$3000,"&gt;="&amp;DATE(2025,11,1),'DATA INPUT'!$A$3:$A$3000,"&lt;"&amp;DATE(2025,11,31),'DATA INPUT'!$F$3:$F$3000,"&lt;&gt;*Exclude*")),#N/A))</f>
        <v>#N/A</v>
      </c>
      <c r="AZ109" s="117" t="e">
        <f>IF($L$2="Yes",IFERROR((SUMIFS('DATA INPUT'!$C$3:$C$3000,'DATA INPUT'!$B$3:$B$3000,'Report Tables'!AX$1,'DATA INPUT'!$A$3:$A$3000,"&gt;="&amp;DATE(2025,11,1),'DATA INPUT'!$A$3:$A$3000,"&lt;"&amp;DATE(2025,11,31)))/COUNTIFS('DATA INPUT'!$B$3:$B$3000,'Report Tables'!AX$1,'DATA INPUT'!$A$3:$A$3000,"&gt;="&amp;DATE(2025,11,1),'DATA INPUT'!$A$3:$A$3000,"&lt;"&amp;DATE(2025,11,31)),#N/A),IFERROR((SUMIFS('DATA INPUT'!$C$3:$C$3000,'DATA INPUT'!$B$3:$B$3000,'Report Tables'!AX$1,'DATA INPUT'!$A$3:$A$3000,"&gt;="&amp;DATE(2025,11,1),'DATA INPUT'!$A$3:$A$3000,"&lt;"&amp;DATE(2025,11,31),'DATA INPUT'!$F$3:$F$3000,"&lt;&gt;*Exclude*"))/(COUNTIFS('DATA INPUT'!$B$3:$B$3000,'Report Tables'!AX$1,'DATA INPUT'!$A$3:$A$3000,"&gt;="&amp;DATE(2025,11,1),'DATA INPUT'!$A$3:$A$3000,"&lt;"&amp;DATE(2025,11,31),'DATA INPUT'!$F$3:$F$3000,"&lt;&gt;*Exclude*")),#N/A))</f>
        <v>#N/A</v>
      </c>
    </row>
    <row r="110" spans="25:52" x14ac:dyDescent="0.3">
      <c r="Y110" s="149"/>
      <c r="Z110" s="149" t="s">
        <v>23</v>
      </c>
      <c r="AA110" s="136" t="e">
        <f>IF($L$2="Yes",IF(SUMIFS('DATA INPUT'!$E$3:$E$3000,'DATA INPUT'!$B$3:$B$3000,'Report Tables'!AA$1,'DATA INPUT'!$A$3:$A$3000,"&gt;="&amp;DATE(2025,12,1),'DATA INPUT'!$A$3:$A$3000,"&lt;"&amp;DATE(2025,12,31))=0,#N/A,(SUMIFS('DATA INPUT'!$E$3:$E$3000,'DATA INPUT'!$B$3:$B$3000,'Report Tables'!AA$1,'DATA INPUT'!$A$3:$A$3000,"&gt;="&amp;DATE(2025,12,1),'DATA INPUT'!$A$3:$A$3000,"&lt;"&amp;DATE(2025,12,31)))),IF(SUMIFS('DATA INPUT'!$E$3:$E$3000,'DATA INPUT'!$B$3:$B$3000,'Report Tables'!AA$1,'DATA INPUT'!$A$3:$A$3000,"&gt;="&amp;DATE(2025,12,1),'DATA INPUT'!$A$3:$A$3000,"&lt;"&amp;DATE(2025,12,31),'DATA INPUT'!$F$3:$F$3000,"&lt;&gt;*Exclude*")=0,#N/A,(SUMIFS('DATA INPUT'!$E$3:$E$3000,'DATA INPUT'!$B$3:$B$3000,'Report Tables'!AA$1,'DATA INPUT'!$A$3:$A$3000,"&gt;="&amp;DATE(2025,12,1),'DATA INPUT'!$A$3:$A$3000,"&lt;"&amp;DATE(2025,12,31),'DATA INPUT'!$F$3:$F$3000,"&lt;&gt;*Exclude*"))))</f>
        <v>#N/A</v>
      </c>
      <c r="AB110" s="136" t="e">
        <f>IF($L$2="Yes",IF(SUMIFS('DATA INPUT'!$E$3:$E$3000,'DATA INPUT'!$B$3:$B$3000,'Report Tables'!AB$1,'DATA INPUT'!$A$3:$A$3000,"&gt;="&amp;DATE(2025,12,1),'DATA INPUT'!$A$3:$A$3000,"&lt;"&amp;DATE(2025,12,31))=0,#N/A,(SUMIFS('DATA INPUT'!$E$3:$E$3000,'DATA INPUT'!$B$3:$B$3000,'Report Tables'!AB$1,'DATA INPUT'!$A$3:$A$3000,"&gt;="&amp;DATE(2025,12,1),'DATA INPUT'!$A$3:$A$3000,"&lt;"&amp;DATE(2025,12,31)))),IF(SUMIFS('DATA INPUT'!$E$3:$E$3000,'DATA INPUT'!$B$3:$B$3000,'Report Tables'!AB$1,'DATA INPUT'!$A$3:$A$3000,"&gt;="&amp;DATE(2025,12,1),'DATA INPUT'!$A$3:$A$3000,"&lt;"&amp;DATE(2025,12,31),'DATA INPUT'!$F$3:$F$3000,"&lt;&gt;*Exclude*")=0,#N/A,(SUMIFS('DATA INPUT'!$E$3:$E$3000,'DATA INPUT'!$B$3:$B$3000,'Report Tables'!AB$1,'DATA INPUT'!$A$3:$A$3000,"&gt;="&amp;DATE(2025,12,1),'DATA INPUT'!$A$3:$A$3000,"&lt;"&amp;DATE(2025,12,31),'DATA INPUT'!$F$3:$F$3000,"&lt;&gt;*Exclude*"))))</f>
        <v>#N/A</v>
      </c>
      <c r="AC110" s="136" t="e">
        <f>IF($L$2="Yes",IF(SUMIFS('DATA INPUT'!$E$3:$E$3000,'DATA INPUT'!$B$3:$B$3000,'Report Tables'!AC$1,'DATA INPUT'!$A$3:$A$3000,"&gt;="&amp;DATE(2025,12,1),'DATA INPUT'!$A$3:$A$3000,"&lt;"&amp;DATE(2025,12,31))=0,#N/A,(SUMIFS('DATA INPUT'!$E$3:$E$3000,'DATA INPUT'!$B$3:$B$3000,'Report Tables'!AC$1,'DATA INPUT'!$A$3:$A$3000,"&gt;="&amp;DATE(2025,12,1),'DATA INPUT'!$A$3:$A$3000,"&lt;"&amp;DATE(2025,12,31)))),IF(SUMIFS('DATA INPUT'!$E$3:$E$3000,'DATA INPUT'!$B$3:$B$3000,'Report Tables'!AC$1,'DATA INPUT'!$A$3:$A$3000,"&gt;="&amp;DATE(2025,12,1),'DATA INPUT'!$A$3:$A$3000,"&lt;"&amp;DATE(2025,12,31),'DATA INPUT'!$F$3:$F$3000,"&lt;&gt;*Exclude*")=0,#N/A,(SUMIFS('DATA INPUT'!$E$3:$E$3000,'DATA INPUT'!$B$3:$B$3000,'Report Tables'!AC$1,'DATA INPUT'!$A$3:$A$3000,"&gt;="&amp;DATE(2025,12,1),'DATA INPUT'!$A$3:$A$3000,"&lt;"&amp;DATE(2025,12,31),'DATA INPUT'!$F$3:$F$3000,"&lt;&gt;*Exclude*"))))</f>
        <v>#N/A</v>
      </c>
      <c r="AD110" s="136" t="e">
        <f>IF($L$2="Yes",IF(SUMIFS('DATA INPUT'!$E$3:$E$3000,'DATA INPUT'!$B$3:$B$3000,'Report Tables'!AD$1,'DATA INPUT'!$A$3:$A$3000,"&gt;="&amp;DATE(2025,12,1),'DATA INPUT'!$A$3:$A$3000,"&lt;"&amp;DATE(2025,12,31))=0,#N/A,(SUMIFS('DATA INPUT'!$E$3:$E$3000,'DATA INPUT'!$B$3:$B$3000,'Report Tables'!AD$1,'DATA INPUT'!$A$3:$A$3000,"&gt;="&amp;DATE(2025,12,1),'DATA INPUT'!$A$3:$A$3000,"&lt;"&amp;DATE(2025,12,31)))),IF(SUMIFS('DATA INPUT'!$E$3:$E$3000,'DATA INPUT'!$B$3:$B$3000,'Report Tables'!AD$1,'DATA INPUT'!$A$3:$A$3000,"&gt;="&amp;DATE(2025,12,1),'DATA INPUT'!$A$3:$A$3000,"&lt;"&amp;DATE(2025,12,31),'DATA INPUT'!$F$3:$F$3000,"&lt;&gt;*Exclude*")=0,#N/A,(SUMIFS('DATA INPUT'!$E$3:$E$3000,'DATA INPUT'!$B$3:$B$3000,'Report Tables'!AD$1,'DATA INPUT'!$A$3:$A$3000,"&gt;="&amp;DATE(2025,12,1),'DATA INPUT'!$A$3:$A$3000,"&lt;"&amp;DATE(2025,12,31),'DATA INPUT'!$F$3:$F$3000,"&lt;&gt;*Exclude*"))))</f>
        <v>#N/A</v>
      </c>
      <c r="AE110" s="136" t="e">
        <f>IF($L$2="Yes",IF(SUMIFS('DATA INPUT'!$E$3:$E$3000,'DATA INPUT'!$B$3:$B$3000,'Report Tables'!AE$1,'DATA INPUT'!$A$3:$A$3000,"&gt;="&amp;DATE(2025,12,1),'DATA INPUT'!$A$3:$A$3000,"&lt;"&amp;DATE(2025,12,31))=0,#N/A,(SUMIFS('DATA INPUT'!$E$3:$E$3000,'DATA INPUT'!$B$3:$B$3000,'Report Tables'!AE$1,'DATA INPUT'!$A$3:$A$3000,"&gt;="&amp;DATE(2025,12,1),'DATA INPUT'!$A$3:$A$3000,"&lt;"&amp;DATE(2025,12,31)))),IF(SUMIFS('DATA INPUT'!$E$3:$E$3000,'DATA INPUT'!$B$3:$B$3000,'Report Tables'!AE$1,'DATA INPUT'!$A$3:$A$3000,"&gt;="&amp;DATE(2025,12,1),'DATA INPUT'!$A$3:$A$3000,"&lt;"&amp;DATE(2025,12,31),'DATA INPUT'!$F$3:$F$3000,"&lt;&gt;*Exclude*")=0,#N/A,(SUMIFS('DATA INPUT'!$E$3:$E$3000,'DATA INPUT'!$B$3:$B$3000,'Report Tables'!AE$1,'DATA INPUT'!$A$3:$A$3000,"&gt;="&amp;DATE(2025,12,1),'DATA INPUT'!$A$3:$A$3000,"&lt;"&amp;DATE(2025,12,31),'DATA INPUT'!$F$3:$F$3000,"&lt;&gt;*Exclude*"))))</f>
        <v>#N/A</v>
      </c>
      <c r="AF110" s="136" t="e">
        <f>IF($L$2="Yes",IF(SUMIFS('DATA INPUT'!$E$3:$E$3000,'DATA INPUT'!$B$3:$B$3000,'Report Tables'!AF$1,'DATA INPUT'!$A$3:$A$3000,"&gt;="&amp;DATE(2025,12,1),'DATA INPUT'!$A$3:$A$3000,"&lt;"&amp;DATE(2025,12,31))=0,#N/A,(SUMIFS('DATA INPUT'!$E$3:$E$3000,'DATA INPUT'!$B$3:$B$3000,'Report Tables'!AF$1,'DATA INPUT'!$A$3:$A$3000,"&gt;="&amp;DATE(2025,12,1),'DATA INPUT'!$A$3:$A$3000,"&lt;"&amp;DATE(2025,12,31)))),IF(SUMIFS('DATA INPUT'!$E$3:$E$3000,'DATA INPUT'!$B$3:$B$3000,'Report Tables'!AF$1,'DATA INPUT'!$A$3:$A$3000,"&gt;="&amp;DATE(2025,12,1),'DATA INPUT'!$A$3:$A$3000,"&lt;"&amp;DATE(2025,12,31),'DATA INPUT'!$F$3:$F$3000,"&lt;&gt;*Exclude*")=0,#N/A,(SUMIFS('DATA INPUT'!$E$3:$E$3000,'DATA INPUT'!$B$3:$B$3000,'Report Tables'!AF$1,'DATA INPUT'!$A$3:$A$3000,"&gt;="&amp;DATE(2025,12,1),'DATA INPUT'!$A$3:$A$3000,"&lt;"&amp;DATE(2025,12,31),'DATA INPUT'!$F$3:$F$3000,"&lt;&gt;*Exclude*"))))</f>
        <v>#N/A</v>
      </c>
      <c r="AG110" s="136" t="e">
        <f>IF($L$2="Yes",IF(SUMIFS('DATA INPUT'!$E$3:$E$3000,'DATA INPUT'!$B$3:$B$3000,'Report Tables'!AG$1,'DATA INPUT'!$A$3:$A$3000,"&gt;="&amp;DATE(2025,12,1),'DATA INPUT'!$A$3:$A$3000,"&lt;"&amp;DATE(2025,12,31))=0,#N/A,(SUMIFS('DATA INPUT'!$E$3:$E$3000,'DATA INPUT'!$B$3:$B$3000,'Report Tables'!AG$1,'DATA INPUT'!$A$3:$A$3000,"&gt;="&amp;DATE(2025,12,1),'DATA INPUT'!$A$3:$A$3000,"&lt;"&amp;DATE(2025,12,31)))),IF(SUMIFS('DATA INPUT'!$E$3:$E$3000,'DATA INPUT'!$B$3:$B$3000,'Report Tables'!AG$1,'DATA INPUT'!$A$3:$A$3000,"&gt;="&amp;DATE(2025,12,1),'DATA INPUT'!$A$3:$A$3000,"&lt;"&amp;DATE(2025,12,31),'DATA INPUT'!$F$3:$F$3000,"&lt;&gt;*Exclude*")=0,#N/A,(SUMIFS('DATA INPUT'!$E$3:$E$3000,'DATA INPUT'!$B$3:$B$3000,'Report Tables'!AG$1,'DATA INPUT'!$A$3:$A$3000,"&gt;="&amp;DATE(2025,12,1),'DATA INPUT'!$A$3:$A$3000,"&lt;"&amp;DATE(2025,12,31),'DATA INPUT'!$F$3:$F$3000,"&lt;&gt;*Exclude*"))))</f>
        <v>#N/A</v>
      </c>
      <c r="AH110" s="136" t="e">
        <f>IF($L$2="Yes",IF(SUMIFS('DATA INPUT'!$E$3:$E$3000,'DATA INPUT'!$B$3:$B$3000,'Report Tables'!AH$1,'DATA INPUT'!$A$3:$A$3000,"&gt;="&amp;DATE(2025,12,1),'DATA INPUT'!$A$3:$A$3000,"&lt;"&amp;DATE(2025,12,31))=0,#N/A,(SUMIFS('DATA INPUT'!$E$3:$E$3000,'DATA INPUT'!$B$3:$B$3000,'Report Tables'!AH$1,'DATA INPUT'!$A$3:$A$3000,"&gt;="&amp;DATE(2025,12,1),'DATA INPUT'!$A$3:$A$3000,"&lt;"&amp;DATE(2025,12,31)))),IF(SUMIFS('DATA INPUT'!$E$3:$E$3000,'DATA INPUT'!$B$3:$B$3000,'Report Tables'!AH$1,'DATA INPUT'!$A$3:$A$3000,"&gt;="&amp;DATE(2025,12,1),'DATA INPUT'!$A$3:$A$3000,"&lt;"&amp;DATE(2025,12,31),'DATA INPUT'!$F$3:$F$3000,"&lt;&gt;*Exclude*")=0,#N/A,(SUMIFS('DATA INPUT'!$E$3:$E$3000,'DATA INPUT'!$B$3:$B$3000,'Report Tables'!AH$1,'DATA INPUT'!$A$3:$A$3000,"&gt;="&amp;DATE(2025,12,1),'DATA INPUT'!$A$3:$A$3000,"&lt;"&amp;DATE(2025,12,31),'DATA INPUT'!$F$3:$F$3000,"&lt;&gt;*Exclude*"))))</f>
        <v>#N/A</v>
      </c>
      <c r="AI110" s="136" t="e">
        <f t="shared" si="23"/>
        <v>#N/A</v>
      </c>
      <c r="AJ110" s="136" t="e">
        <f>IF($L$2="Yes",IF(SUMIFS('DATA INPUT'!$D$3:$D$3000,'DATA INPUT'!$A$3:$A$3000,"&gt;="&amp;DATE(2025,12,1),'DATA INPUT'!$A$3:$A$3000,"&lt;"&amp;DATE(2025,12,31),'DATA INPUT'!$G$3:$G$3000,"&lt;&gt;*School service*")=0,#N/A,(SUMIFS('DATA INPUT'!$D$3:$D$3000,'DATA INPUT'!$A$3:$A$3000,"&gt;="&amp;DATE(2025,12,1),'DATA INPUT'!$A$3:$A$3000,"&lt;"&amp;DATE(2025,12,31),'DATA INPUT'!$G$3:$G$3000,"&lt;&gt;*School service*"))),IF(SUMIFS('DATA INPUT'!$D$3:$D$3000,'DATA INPUT'!$A$3:$A$3000,"&gt;="&amp;DATE(2025,12,1),'DATA INPUT'!$A$3:$A$3000,"&lt;"&amp;DATE(2025,12,31),'DATA INPUT'!$F$3:$F$3000,"&lt;&gt;*Exclude*",'DATA INPUT'!$G$3:$G$3000,"&lt;&gt;*School service*")=0,#N/A,(SUMIFS('DATA INPUT'!$D$3:$D$3000,'DATA INPUT'!$A$3:$A$3000,"&gt;="&amp;DATE(2025,12,1),'DATA INPUT'!$A$3:$A$3000,"&lt;"&amp;DATE(2025,12,31),'DATA INPUT'!$F$3:$F$3000,"&lt;&gt;*Exclude*",'DATA INPUT'!$G$3:$G$3000,"&lt;&gt;*School service*"))))</f>
        <v>#N/A</v>
      </c>
      <c r="AK110" s="136" t="e">
        <f>AI110-AJ110</f>
        <v>#N/A</v>
      </c>
      <c r="AM110" s="117" t="e">
        <f>IF($L$2="Yes",IFERROR((SUMIFS('DATA INPUT'!$E$3:$E$3000,'DATA INPUT'!$B$3:$B$3000,'Report Tables'!AM$1,'DATA INPUT'!$A$3:$A$3000,"&gt;="&amp;DATE(2025,12,1),'DATA INPUT'!$A$3:$A$3000,"&lt;"&amp;DATE(2025,12,31)))/COUNTIFS('DATA INPUT'!$B$3:$B$3000,'Report Tables'!AM$1,'DATA INPUT'!$A$3:$A$3000,"&gt;="&amp;DATE(2025,12,1),'DATA INPUT'!$A$3:$A$3000,"&lt;"&amp;DATE(2025,12,31)),#N/A),IFERROR((SUMIFS('DATA INPUT'!$E$3:$E$3000,'DATA INPUT'!$B$3:$B$3000,'Report Tables'!AM$1,'DATA INPUT'!$A$3:$A$3000,"&gt;="&amp;DATE(2025,12,1),'DATA INPUT'!$A$3:$A$3000,"&lt;"&amp;DATE(2025,12,31),'DATA INPUT'!$F$3:$F$3000,"&lt;&gt;*Exclude*"))/(COUNTIFS('DATA INPUT'!$B$3:$B$3000,'Report Tables'!AM$1,'DATA INPUT'!$A$3:$A$3000,"&gt;="&amp;DATE(2025,12,1),'DATA INPUT'!$A$3:$A$3000,"&lt;"&amp;DATE(2025,12,31),'DATA INPUT'!$F$3:$F$3000,"&lt;&gt;*Exclude*")),#N/A))</f>
        <v>#N/A</v>
      </c>
      <c r="AN110" s="117" t="e">
        <f>IF($L$2="Yes",IFERROR((SUMIFS('DATA INPUT'!$E$3:$E$3000,'DATA INPUT'!$B$3:$B$3000,'Report Tables'!AN$1,'DATA INPUT'!$A$3:$A$3000,"&gt;="&amp;DATE(2025,12,1),'DATA INPUT'!$A$3:$A$3000,"&lt;"&amp;DATE(2025,12,31)))/COUNTIFS('DATA INPUT'!$B$3:$B$3000,'Report Tables'!AN$1,'DATA INPUT'!$A$3:$A$3000,"&gt;="&amp;DATE(2025,12,1),'DATA INPUT'!$A$3:$A$3000,"&lt;"&amp;DATE(2025,12,31)),#N/A),IFERROR((SUMIFS('DATA INPUT'!$E$3:$E$3000,'DATA INPUT'!$B$3:$B$3000,'Report Tables'!AN$1,'DATA INPUT'!$A$3:$A$3000,"&gt;="&amp;DATE(2025,12,1),'DATA INPUT'!$A$3:$A$3000,"&lt;"&amp;DATE(2025,12,31),'DATA INPUT'!$F$3:$F$3000,"&lt;&gt;*Exclude*"))/(COUNTIFS('DATA INPUT'!$B$3:$B$3000,'Report Tables'!AN$1,'DATA INPUT'!$A$3:$A$3000,"&gt;="&amp;DATE(2025,12,1),'DATA INPUT'!$A$3:$A$3000,"&lt;"&amp;DATE(2025,12,31),'DATA INPUT'!$F$3:$F$3000,"&lt;&gt;*Exclude*")),#N/A))</f>
        <v>#N/A</v>
      </c>
      <c r="AO110" s="117" t="e">
        <f>IF($L$2="Yes",IFERROR((SUMIFS('DATA INPUT'!$E$3:$E$3000,'DATA INPUT'!$B$3:$B$3000,'Report Tables'!AO$1,'DATA INPUT'!$A$3:$A$3000,"&gt;="&amp;DATE(2025,12,1),'DATA INPUT'!$A$3:$A$3000,"&lt;"&amp;DATE(2025,12,31)))/COUNTIFS('DATA INPUT'!$B$3:$B$3000,'Report Tables'!AO$1,'DATA INPUT'!$A$3:$A$3000,"&gt;="&amp;DATE(2025,12,1),'DATA INPUT'!$A$3:$A$3000,"&lt;"&amp;DATE(2025,12,31)),#N/A),IFERROR((SUMIFS('DATA INPUT'!$E$3:$E$3000,'DATA INPUT'!$B$3:$B$3000,'Report Tables'!AO$1,'DATA INPUT'!$A$3:$A$3000,"&gt;="&amp;DATE(2025,12,1),'DATA INPUT'!$A$3:$A$3000,"&lt;"&amp;DATE(2025,12,31),'DATA INPUT'!$F$3:$F$3000,"&lt;&gt;*Exclude*"))/(COUNTIFS('DATA INPUT'!$B$3:$B$3000,'Report Tables'!AO$1,'DATA INPUT'!$A$3:$A$3000,"&gt;="&amp;DATE(2025,12,1),'DATA INPUT'!$A$3:$A$3000,"&lt;"&amp;DATE(2025,12,31),'DATA INPUT'!$F$3:$F$3000,"&lt;&gt;*Exclude*")),#N/A))</f>
        <v>#N/A</v>
      </c>
      <c r="AP110" s="117" t="e">
        <f>IF($L$2="Yes",IFERROR((SUMIFS('DATA INPUT'!$E$3:$E$3000,'DATA INPUT'!$B$3:$B$3000,'Report Tables'!AP$1,'DATA INPUT'!$A$3:$A$3000,"&gt;="&amp;DATE(2025,12,1),'DATA INPUT'!$A$3:$A$3000,"&lt;"&amp;DATE(2025,12,31)))/COUNTIFS('DATA INPUT'!$B$3:$B$3000,'Report Tables'!AP$1,'DATA INPUT'!$A$3:$A$3000,"&gt;="&amp;DATE(2025,12,1),'DATA INPUT'!$A$3:$A$3000,"&lt;"&amp;DATE(2025,12,31)),#N/A),IFERROR((SUMIFS('DATA INPUT'!$E$3:$E$3000,'DATA INPUT'!$B$3:$B$3000,'Report Tables'!AP$1,'DATA INPUT'!$A$3:$A$3000,"&gt;="&amp;DATE(2025,12,1),'DATA INPUT'!$A$3:$A$3000,"&lt;"&amp;DATE(2025,12,31),'DATA INPUT'!$F$3:$F$3000,"&lt;&gt;*Exclude*"))/(COUNTIFS('DATA INPUT'!$B$3:$B$3000,'Report Tables'!AP$1,'DATA INPUT'!$A$3:$A$3000,"&gt;="&amp;DATE(2025,12,1),'DATA INPUT'!$A$3:$A$3000,"&lt;"&amp;DATE(2025,12,31),'DATA INPUT'!$F$3:$F$3000,"&lt;&gt;*Exclude*")),#N/A))</f>
        <v>#N/A</v>
      </c>
      <c r="AQ110" s="117" t="e">
        <f>IF($L$2="Yes",IFERROR((SUMIFS('DATA INPUT'!$E$3:$E$3000,'DATA INPUT'!$B$3:$B$3000,'Report Tables'!AQ$1,'DATA INPUT'!$A$3:$A$3000,"&gt;="&amp;DATE(2025,12,1),'DATA INPUT'!$A$3:$A$3000,"&lt;"&amp;DATE(2025,12,31)))/COUNTIFS('DATA INPUT'!$B$3:$B$3000,'Report Tables'!AQ$1,'DATA INPUT'!$A$3:$A$3000,"&gt;="&amp;DATE(2025,12,1),'DATA INPUT'!$A$3:$A$3000,"&lt;"&amp;DATE(2025,12,31)),#N/A),IFERROR((SUMIFS('DATA INPUT'!$E$3:$E$3000,'DATA INPUT'!$B$3:$B$3000,'Report Tables'!AQ$1,'DATA INPUT'!$A$3:$A$3000,"&gt;="&amp;DATE(2025,12,1),'DATA INPUT'!$A$3:$A$3000,"&lt;"&amp;DATE(2025,12,31),'DATA INPUT'!$F$3:$F$3000,"&lt;&gt;*Exclude*"))/(COUNTIFS('DATA INPUT'!$B$3:$B$3000,'Report Tables'!AQ$1,'DATA INPUT'!$A$3:$A$3000,"&gt;="&amp;DATE(2025,12,1),'DATA INPUT'!$A$3:$A$3000,"&lt;"&amp;DATE(2025,12,31),'DATA INPUT'!$F$3:$F$3000,"&lt;&gt;*Exclude*")),#N/A))</f>
        <v>#N/A</v>
      </c>
      <c r="AR110" s="117" t="e">
        <f>IF($L$2="Yes",IFERROR((SUMIFS('DATA INPUT'!$E$3:$E$3000,'DATA INPUT'!$B$3:$B$3000,'Report Tables'!AR$1,'DATA INPUT'!$A$3:$A$3000,"&gt;="&amp;DATE(2025,12,1),'DATA INPUT'!$A$3:$A$3000,"&lt;"&amp;DATE(2025,12,31)))/COUNTIFS('DATA INPUT'!$B$3:$B$3000,'Report Tables'!AR$1,'DATA INPUT'!$A$3:$A$3000,"&gt;="&amp;DATE(2025,12,1),'DATA INPUT'!$A$3:$A$3000,"&lt;"&amp;DATE(2025,12,31)),#N/A),IFERROR((SUMIFS('DATA INPUT'!$E$3:$E$3000,'DATA INPUT'!$B$3:$B$3000,'Report Tables'!AR$1,'DATA INPUT'!$A$3:$A$3000,"&gt;="&amp;DATE(2025,12,1),'DATA INPUT'!$A$3:$A$3000,"&lt;"&amp;DATE(2025,12,31),'DATA INPUT'!$F$3:$F$3000,"&lt;&gt;*Exclude*"))/(COUNTIFS('DATA INPUT'!$B$3:$B$3000,'Report Tables'!AR$1,'DATA INPUT'!$A$3:$A$3000,"&gt;="&amp;DATE(2025,12,1),'DATA INPUT'!$A$3:$A$3000,"&lt;"&amp;DATE(2025,12,31),'DATA INPUT'!$F$3:$F$3000,"&lt;&gt;*Exclude*")),#N/A))</f>
        <v>#N/A</v>
      </c>
      <c r="AS110" s="117" t="e">
        <f>IF($L$2="Yes",IFERROR((SUMIFS('DATA INPUT'!$E$3:$E$3000,'DATA INPUT'!$B$3:$B$3000,'Report Tables'!AS$1,'DATA INPUT'!$A$3:$A$3000,"&gt;="&amp;DATE(2025,12,1),'DATA INPUT'!$A$3:$A$3000,"&lt;"&amp;DATE(2025,12,31)))/COUNTIFS('DATA INPUT'!$B$3:$B$3000,'Report Tables'!AS$1,'DATA INPUT'!$A$3:$A$3000,"&gt;="&amp;DATE(2025,12,1),'DATA INPUT'!$A$3:$A$3000,"&lt;"&amp;DATE(2025,12,31)),#N/A),IFERROR((SUMIFS('DATA INPUT'!$E$3:$E$3000,'DATA INPUT'!$B$3:$B$3000,'Report Tables'!AS$1,'DATA INPUT'!$A$3:$A$3000,"&gt;="&amp;DATE(2025,12,1),'DATA INPUT'!$A$3:$A$3000,"&lt;"&amp;DATE(2025,12,31),'DATA INPUT'!$F$3:$F$3000,"&lt;&gt;*Exclude*"))/(COUNTIFS('DATA INPUT'!$B$3:$B$3000,'Report Tables'!AS$1,'DATA INPUT'!$A$3:$A$3000,"&gt;="&amp;DATE(2025,12,1),'DATA INPUT'!$A$3:$A$3000,"&lt;"&amp;DATE(2025,12,31),'DATA INPUT'!$F$3:$F$3000,"&lt;&gt;*Exclude*")),#N/A))</f>
        <v>#N/A</v>
      </c>
      <c r="AT110" s="117" t="e">
        <f>IF($L$2="Yes",IFERROR((SUMIFS('DATA INPUT'!$E$3:$E$3000,'DATA INPUT'!$B$3:$B$3000,'Report Tables'!AT$1,'DATA INPUT'!$A$3:$A$3000,"&gt;="&amp;DATE(2025,12,1),'DATA INPUT'!$A$3:$A$3000,"&lt;"&amp;DATE(2025,12,31)))/COUNTIFS('DATA INPUT'!$B$3:$B$3000,'Report Tables'!AT$1,'DATA INPUT'!$A$3:$A$3000,"&gt;="&amp;DATE(2025,12,1),'DATA INPUT'!$A$3:$A$3000,"&lt;"&amp;DATE(2025,12,31)),#N/A),IFERROR((SUMIFS('DATA INPUT'!$E$3:$E$3000,'DATA INPUT'!$B$3:$B$3000,'Report Tables'!AT$1,'DATA INPUT'!$A$3:$A$3000,"&gt;="&amp;DATE(2025,12,1),'DATA INPUT'!$A$3:$A$3000,"&lt;"&amp;DATE(2025,12,31),'DATA INPUT'!$F$3:$F$3000,"&lt;&gt;*Exclude*"))/(COUNTIFS('DATA INPUT'!$B$3:$B$3000,'Report Tables'!AT$1,'DATA INPUT'!$A$3:$A$3000,"&gt;="&amp;DATE(2025,12,1),'DATA INPUT'!$A$3:$A$3000,"&lt;"&amp;DATE(2025,12,31),'DATA INPUT'!$F$3:$F$3000,"&lt;&gt;*Exclude*")),#N/A))</f>
        <v>#N/A</v>
      </c>
      <c r="AU110" s="117" t="e">
        <f t="shared" si="24"/>
        <v>#N/A</v>
      </c>
      <c r="AV110" s="117" t="e">
        <f>IF($L$2="Yes",IFERROR((SUMIFS('DATA INPUT'!$D$3:$D$3000,'DATA INPUT'!$A$3:$A$3000,"&gt;="&amp;DATE(2025,12,1),'DATA INPUT'!$A$3:$A$3000,"&lt;"&amp;DATE(2025,12,31),'DATA INPUT'!$G$3:$G$3000,"&lt;&gt;*School service*"))/COUNTIFS('DATA INPUT'!$A$3:$A$3000,"&gt;="&amp;DATE(2025,12,1),'DATA INPUT'!$A$3:$A$3000,"&lt;"&amp;DATE(2025,12,31),'DATA INPUT'!$G$3:$G$3000,"&lt;&gt;*School service*",'DATA INPUT'!$D$3:$D$3000,"&lt;&gt;"&amp;""),#N/A),IFERROR((SUMIFS('DATA INPUT'!$D$3:$D$3000,'DATA INPUT'!$A$3:$A$3000,"&gt;="&amp;DATE(2025,12,1),'DATA INPUT'!$A$3:$A$3000,"&lt;"&amp;DATE(2025,12,31),'DATA INPUT'!$F$3:$F$3000,"&lt;&gt;*Exclude*",'DATA INPUT'!$G$3:$G$3000,"&lt;&gt;*School service*"))/(COUNTIFS('DATA INPUT'!$A$3:$A$3000,"&gt;="&amp;DATE(2025,12,1),'DATA INPUT'!$A$3:$A$3000,"&lt;"&amp;DATE(2025,12,31),'DATA INPUT'!$F$3:$F$3000,"&lt;&gt;*Exclude*",'DATA INPUT'!$G$3:$G$3000,"&lt;&gt;*School service*",'DATA INPUT'!$D$3:$D$3000,"&lt;&gt;"&amp;"")),#N/A))</f>
        <v>#N/A</v>
      </c>
      <c r="AW110" s="117" t="e">
        <f t="shared" si="25"/>
        <v>#N/A</v>
      </c>
      <c r="AX110" s="117" t="e">
        <f>IF($L$2="Yes",IFERROR((SUMIFS('DATA INPUT'!$E$3:$E$3000,'DATA INPUT'!$B$3:$B$3000,'Report Tables'!AX$1,'DATA INPUT'!$A$3:$A$3000,"&gt;="&amp;DATE(2025,12,1),'DATA INPUT'!$A$3:$A$3000,"&lt;"&amp;DATE(2025,12,31)))/COUNTIFS('DATA INPUT'!$B$3:$B$3000,'Report Tables'!AX$1,'DATA INPUT'!$A$3:$A$3000,"&gt;="&amp;DATE(2025,12,1),'DATA INPUT'!$A$3:$A$3000,"&lt;"&amp;DATE(2025,12,31)),#N/A),IFERROR((SUMIFS('DATA INPUT'!$E$3:$E$3000,'DATA INPUT'!$B$3:$B$3000,'Report Tables'!AX$1,'DATA INPUT'!$A$3:$A$3000,"&gt;="&amp;DATE(2025,12,1),'DATA INPUT'!$A$3:$A$3000,"&lt;"&amp;DATE(2025,12,31),'DATA INPUT'!$F$3:$F$3000,"&lt;&gt;*Exclude*"))/(COUNTIFS('DATA INPUT'!$B$3:$B$3000,'Report Tables'!AX$1,'DATA INPUT'!$A$3:$A$3000,"&gt;="&amp;DATE(2025,12,1),'DATA INPUT'!$A$3:$A$3000,"&lt;"&amp;DATE(2025,12,31),'DATA INPUT'!$F$3:$F$3000,"&lt;&gt;*Exclude*")),#N/A))</f>
        <v>#N/A</v>
      </c>
      <c r="AY110" s="117" t="e">
        <f>IF($L$2="Yes",IFERROR((SUMIFS('DATA INPUT'!$D$3:$D$3000,'DATA INPUT'!$B$3:$B$3000,'Report Tables'!AX$1,'DATA INPUT'!$A$3:$A$3000,"&gt;="&amp;DATE(2025,12,1),'DATA INPUT'!$A$3:$A$3000,"&lt;"&amp;DATE(2025,12,31)))/COUNTIFS('DATA INPUT'!$B$3:$B$3000,'Report Tables'!AX$1,'DATA INPUT'!$A$3:$A$3000,"&gt;="&amp;DATE(2025,12,1),'DATA INPUT'!$A$3:$A$3000,"&lt;"&amp;DATE(2025,12,31)),#N/A),IFERROR((SUMIFS('DATA INPUT'!$D$3:$D$3000,'DATA INPUT'!$B$3:$B$3000,'Report Tables'!AX$1,'DATA INPUT'!$A$3:$A$3000,"&gt;="&amp;DATE(2025,12,1),'DATA INPUT'!$A$3:$A$3000,"&lt;"&amp;DATE(2025,12,31),'DATA INPUT'!$F$3:$F$3000,"&lt;&gt;*Exclude*"))/(COUNTIFS('DATA INPUT'!$B$3:$B$3000,'Report Tables'!AX$1,'DATA INPUT'!$A$3:$A$3000,"&gt;="&amp;DATE(2025,12,1),'DATA INPUT'!$A$3:$A$3000,"&lt;"&amp;DATE(2025,12,31),'DATA INPUT'!$F$3:$F$3000,"&lt;&gt;*Exclude*")),#N/A))</f>
        <v>#N/A</v>
      </c>
      <c r="AZ110" s="117" t="e">
        <f>IF($L$2="Yes",IFERROR((SUMIFS('DATA INPUT'!$C$3:$C$3000,'DATA INPUT'!$B$3:$B$3000,'Report Tables'!AX$1,'DATA INPUT'!$A$3:$A$3000,"&gt;="&amp;DATE(2025,12,1),'DATA INPUT'!$A$3:$A$3000,"&lt;"&amp;DATE(2025,12,31)))/COUNTIFS('DATA INPUT'!$B$3:$B$3000,'Report Tables'!AX$1,'DATA INPUT'!$A$3:$A$3000,"&gt;="&amp;DATE(2025,12,1),'DATA INPUT'!$A$3:$A$3000,"&lt;"&amp;DATE(2025,12,31)),#N/A),IFERROR((SUMIFS('DATA INPUT'!$C$3:$C$3000,'DATA INPUT'!$B$3:$B$3000,'Report Tables'!AX$1,'DATA INPUT'!$A$3:$A$3000,"&gt;="&amp;DATE(2025,12,1),'DATA INPUT'!$A$3:$A$3000,"&lt;"&amp;DATE(2025,12,31),'DATA INPUT'!$F$3:$F$3000,"&lt;&gt;*Exclude*"))/(COUNTIFS('DATA INPUT'!$B$3:$B$3000,'Report Tables'!AX$1,'DATA INPUT'!$A$3:$A$3000,"&gt;="&amp;DATE(2025,12,1),'DATA INPUT'!$A$3:$A$3000,"&lt;"&amp;DATE(2025,12,31),'DATA INPUT'!$F$3:$F$3000,"&lt;&gt;*Exclude*")),#N/A))</f>
        <v>#N/A</v>
      </c>
    </row>
  </sheetData>
  <sheetProtection selectLockedCells="1"/>
  <sortState ref="B24:AF49">
    <sortCondition descending="1" ref="V24:V49"/>
  </sortState>
  <mergeCells count="1">
    <mergeCell ref="Y1:Z1"/>
  </mergeCells>
  <conditionalFormatting sqref="L41:L49 L52:L61 C49:K49">
    <cfRule type="containsErrors" dxfId="17" priority="17">
      <formula>ISERROR(C41)</formula>
    </cfRule>
  </conditionalFormatting>
  <conditionalFormatting sqref="C13:K13">
    <cfRule type="cellIs" dxfId="16" priority="16" operator="equal">
      <formula>0</formula>
    </cfRule>
  </conditionalFormatting>
  <conditionalFormatting sqref="L29:L37 C37:K37">
    <cfRule type="containsErrors" dxfId="15" priority="14">
      <formula>ISERROR(C29)</formula>
    </cfRule>
  </conditionalFormatting>
  <conditionalFormatting sqref="C25:K25">
    <cfRule type="cellIs" dxfId="14" priority="13" operator="equal">
      <formula>0</formula>
    </cfRule>
  </conditionalFormatting>
  <conditionalFormatting sqref="C29:K36">
    <cfRule type="containsErrors" dxfId="13" priority="12">
      <formula>ISERROR(C29)</formula>
    </cfRule>
  </conditionalFormatting>
  <conditionalFormatting sqref="C61:K61">
    <cfRule type="containsErrors" dxfId="12" priority="11">
      <formula>ISERROR(C61)</formula>
    </cfRule>
  </conditionalFormatting>
  <conditionalFormatting sqref="C5:K12">
    <cfRule type="cellIs" dxfId="11" priority="10" operator="equal">
      <formula>0</formula>
    </cfRule>
  </conditionalFormatting>
  <conditionalFormatting sqref="C17:K24">
    <cfRule type="cellIs" dxfId="10" priority="9" operator="equal">
      <formula>0</formula>
    </cfRule>
  </conditionalFormatting>
  <conditionalFormatting sqref="C41:K48">
    <cfRule type="containsErrors" dxfId="9" priority="8">
      <formula>ISERROR(C41)</formula>
    </cfRule>
  </conditionalFormatting>
  <conditionalFormatting sqref="C53:K60">
    <cfRule type="containsErrors" dxfId="8" priority="7">
      <formula>ISERROR(C53)</formula>
    </cfRule>
  </conditionalFormatting>
  <conditionalFormatting sqref="C38:L38">
    <cfRule type="containsErrors" dxfId="7" priority="6">
      <formula>ISERROR(C38)</formula>
    </cfRule>
  </conditionalFormatting>
  <conditionalFormatting sqref="C50:L50">
    <cfRule type="containsErrors" dxfId="6" priority="5">
      <formula>ISERROR(C50)</formula>
    </cfRule>
  </conditionalFormatting>
  <conditionalFormatting sqref="L62">
    <cfRule type="containsErrors" dxfId="5" priority="4">
      <formula>ISERROR(L62)</formula>
    </cfRule>
  </conditionalFormatting>
  <conditionalFormatting sqref="C62:K62">
    <cfRule type="containsErrors" dxfId="4" priority="3">
      <formula>ISERROR(C62)</formula>
    </cfRule>
  </conditionalFormatting>
  <conditionalFormatting sqref="D26:K26">
    <cfRule type="cellIs" dxfId="3" priority="2" operator="equal">
      <formula>0</formula>
    </cfRule>
  </conditionalFormatting>
  <conditionalFormatting sqref="D14:K14">
    <cfRule type="cellIs" dxfId="2" priority="1" operator="equal">
      <formula>0</formula>
    </cfRule>
  </conditionalFormatting>
  <dataValidations count="2">
    <dataValidation type="list" allowBlank="1" showInputMessage="1" showErrorMessage="1" sqref="L2">
      <formula1>$G$1:$H$1</formula1>
    </dataValidation>
    <dataValidation type="list" allowBlank="1" showInputMessage="1" showErrorMessage="1" sqref="F3">
      <formula1>$G$1:$G$2</formula1>
    </dataValidation>
  </dataValidations>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2"/>
  <sheetViews>
    <sheetView showGridLines="0" zoomScale="90" zoomScaleNormal="90" workbookViewId="0">
      <selection activeCell="D35" sqref="D35:F35"/>
    </sheetView>
  </sheetViews>
  <sheetFormatPr defaultRowHeight="14.4" x14ac:dyDescent="0.3"/>
  <cols>
    <col min="1" max="12" width="8.88671875" style="77"/>
    <col min="13" max="13" width="10.88671875" style="77" customWidth="1"/>
    <col min="14" max="21" width="8.88671875" style="77"/>
    <col min="22" max="22" width="10.77734375" style="79" customWidth="1"/>
    <col min="23" max="23" width="11.77734375" style="79" customWidth="1"/>
    <col min="24" max="24" width="10.5546875" style="79" bestFit="1" customWidth="1"/>
    <col min="25" max="25" width="9.109375" style="79" customWidth="1"/>
    <col min="26" max="27" width="9" style="79" bestFit="1" customWidth="1"/>
    <col min="28" max="28" width="9" style="145" bestFit="1" customWidth="1"/>
    <col min="29" max="30" width="9" style="146" bestFit="1" customWidth="1"/>
    <col min="31" max="69" width="8.88671875" style="146"/>
    <col min="70" max="16384" width="8.88671875" style="77"/>
  </cols>
  <sheetData>
    <row r="1" spans="1:22" ht="14.4" customHeight="1" x14ac:dyDescent="0.3">
      <c r="C1" s="152"/>
      <c r="D1" s="193" t="str">
        <f>IF(Information!C6=0,"",Information!C6)</f>
        <v/>
      </c>
      <c r="E1" s="193"/>
      <c r="F1" s="193"/>
      <c r="G1" s="193"/>
      <c r="H1" s="193"/>
      <c r="I1" s="193"/>
      <c r="J1" s="193"/>
      <c r="K1" s="193"/>
      <c r="L1" s="152"/>
      <c r="M1" s="152"/>
      <c r="T1" s="78"/>
      <c r="U1" s="78"/>
    </row>
    <row r="2" spans="1:22" ht="14.4" customHeight="1" x14ac:dyDescent="0.3">
      <c r="A2" s="151" t="str">
        <f>"NB: Services marked as 'Exclude' are currently "&amp;IF('Report Tables'!L2="No","excluded","included")</f>
        <v>NB: Services marked as 'Exclude' are currently included</v>
      </c>
      <c r="B2" s="152"/>
      <c r="C2" s="152"/>
      <c r="D2" s="152"/>
      <c r="E2" s="152"/>
      <c r="F2" s="152"/>
      <c r="G2" s="152"/>
      <c r="H2" s="152"/>
      <c r="I2" s="152"/>
      <c r="J2" s="152"/>
      <c r="K2" s="152"/>
      <c r="L2" s="152"/>
      <c r="M2" s="152"/>
      <c r="N2" s="81"/>
      <c r="T2" s="78"/>
      <c r="U2" s="82"/>
      <c r="V2" s="83"/>
    </row>
    <row r="3" spans="1:22" x14ac:dyDescent="0.3">
      <c r="T3" s="78"/>
      <c r="U3" s="78"/>
    </row>
    <row r="4" spans="1:22" x14ac:dyDescent="0.3">
      <c r="T4" s="78"/>
      <c r="U4" s="78"/>
    </row>
    <row r="5" spans="1:22" x14ac:dyDescent="0.3">
      <c r="T5" s="78"/>
      <c r="U5" s="78"/>
    </row>
    <row r="6" spans="1:22" x14ac:dyDescent="0.3">
      <c r="T6" s="78"/>
      <c r="U6" s="78"/>
    </row>
    <row r="7" spans="1:22" x14ac:dyDescent="0.3">
      <c r="T7" s="78"/>
      <c r="U7" s="78"/>
    </row>
    <row r="8" spans="1:22" x14ac:dyDescent="0.3">
      <c r="T8" s="78"/>
      <c r="U8" s="78"/>
    </row>
    <row r="9" spans="1:22" x14ac:dyDescent="0.3">
      <c r="T9" s="78"/>
      <c r="U9" s="78"/>
    </row>
    <row r="10" spans="1:22" x14ac:dyDescent="0.3">
      <c r="T10" s="78"/>
      <c r="U10" s="78"/>
    </row>
    <row r="19" spans="11:32" x14ac:dyDescent="0.3">
      <c r="T19" s="84"/>
      <c r="U19" s="84"/>
      <c r="V19" s="81"/>
      <c r="X19" s="82"/>
      <c r="Y19" s="85"/>
      <c r="Z19" s="85"/>
    </row>
    <row r="21" spans="11:32" x14ac:dyDescent="0.3">
      <c r="K21" s="86"/>
      <c r="L21" s="86"/>
      <c r="M21" s="86"/>
      <c r="N21" s="86"/>
      <c r="O21" s="86"/>
      <c r="P21" s="86"/>
      <c r="Q21" s="86"/>
      <c r="R21" s="86"/>
      <c r="S21" s="86"/>
      <c r="T21" s="86"/>
      <c r="U21" s="86"/>
    </row>
    <row r="22" spans="11:32" x14ac:dyDescent="0.3">
      <c r="K22" s="87"/>
      <c r="L22" s="87"/>
      <c r="M22" s="87"/>
      <c r="N22" s="87"/>
      <c r="O22" s="87"/>
      <c r="P22" s="87"/>
      <c r="Q22" s="87"/>
      <c r="R22" s="87"/>
      <c r="S22" s="87"/>
      <c r="T22" s="87"/>
      <c r="U22" s="87"/>
      <c r="V22" s="83"/>
      <c r="W22" s="86"/>
      <c r="X22" s="86"/>
      <c r="Y22" s="86"/>
      <c r="Z22" s="86"/>
      <c r="AA22" s="86"/>
      <c r="AB22" s="147"/>
      <c r="AC22" s="147"/>
      <c r="AD22" s="147"/>
      <c r="AE22" s="147"/>
      <c r="AF22" s="147"/>
    </row>
    <row r="23" spans="11:32" x14ac:dyDescent="0.3">
      <c r="V23" s="77"/>
      <c r="W23" s="88"/>
      <c r="X23" s="88"/>
      <c r="Y23" s="88"/>
      <c r="Z23" s="88"/>
      <c r="AA23" s="88"/>
      <c r="AB23" s="148"/>
      <c r="AC23" s="148"/>
      <c r="AD23" s="148"/>
      <c r="AE23" s="148"/>
      <c r="AF23" s="148"/>
    </row>
    <row r="25" spans="11:32" x14ac:dyDescent="0.3">
      <c r="V25" s="77"/>
    </row>
    <row r="34" spans="3:23" ht="7.8" customHeight="1" x14ac:dyDescent="0.3"/>
    <row r="35" spans="3:23" x14ac:dyDescent="0.3">
      <c r="C35" s="89" t="s">
        <v>9</v>
      </c>
      <c r="D35" s="190" t="s">
        <v>72</v>
      </c>
      <c r="E35" s="191"/>
      <c r="F35" s="192"/>
    </row>
    <row r="38" spans="3:23" x14ac:dyDescent="0.3">
      <c r="V38" s="90"/>
      <c r="W38" s="91"/>
    </row>
    <row r="52" spans="3:8" x14ac:dyDescent="0.3">
      <c r="C52" s="80"/>
      <c r="D52" s="81"/>
      <c r="E52" s="81"/>
      <c r="F52" s="81"/>
      <c r="G52" s="81"/>
      <c r="H52" s="81"/>
    </row>
  </sheetData>
  <sheetProtection algorithmName="SHA-512" hashValue="a3U/JJBtdE2u+mP6XHSehAjXbeZDs8e5/JZITabO5mIjQVJvNvFA/Qvz5t3czDSYDxcqZNWjzskenlfCX6bW6Q==" saltValue="moKCH99/kmliSU1BM7SjPg==" spinCount="100000" sheet="1" objects="1" scenarios="1" selectLockedCells="1"/>
  <mergeCells count="2">
    <mergeCell ref="D35:F35"/>
    <mergeCell ref="D1:K1"/>
  </mergeCells>
  <dataValidations count="2">
    <dataValidation type="list" allowBlank="1" showInputMessage="1" showErrorMessage="1" sqref="V19">
      <formula1>Churches</formula1>
    </dataValidation>
    <dataValidation type="list" allowBlank="1" showInputMessage="1" showErrorMessage="1" sqref="Y19">
      <formula1>INDIRECT(SUBSTITUTE($V19," ",""))</formula1>
    </dataValidation>
  </dataValidations>
  <printOptions gridLines="1"/>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'Report Tables'!#REF!</xm:f>
          </x14:formula1>
          <xm:sqref>V2</xm:sqref>
        </x14:dataValidation>
        <x14:dataValidation type="list" allowBlank="1" showInputMessage="1" showErrorMessage="1">
          <x14:formula1>
            <xm:f>'Report Tables'!#REF!</xm:f>
          </x14:formula1>
          <xm:sqref>D52</xm:sqref>
        </x14:dataValidation>
        <x14:dataValidation type="list" allowBlank="1" showInputMessage="1" showErrorMessage="1">
          <x14:formula1>
            <xm:f>Information!$C$8:$C$15</xm:f>
          </x14:formula1>
          <xm:sqref>D35:F35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64"/>
  <sheetViews>
    <sheetView zoomScaleNormal="100" workbookViewId="0">
      <selection activeCell="C4" sqref="C4"/>
    </sheetView>
  </sheetViews>
  <sheetFormatPr defaultRowHeight="14.4" x14ac:dyDescent="0.3"/>
  <cols>
    <col min="1" max="1" width="2.33203125" style="114" customWidth="1"/>
    <col min="2" max="2" width="10.5546875" style="114" customWidth="1"/>
    <col min="3" max="3" width="8.88671875" style="114"/>
    <col min="4" max="4" width="8.88671875" style="114" customWidth="1"/>
    <col min="5" max="5" width="8.88671875" style="114"/>
    <col min="6" max="6" width="9.5546875" style="114" customWidth="1"/>
    <col min="7" max="7" width="8.88671875" style="114"/>
    <col min="8" max="8" width="8.88671875" style="31"/>
    <col min="9" max="9" width="8.88671875" style="122"/>
    <col min="10" max="10" width="8.88671875" style="114"/>
    <col min="11" max="11" width="14.21875" style="215" customWidth="1"/>
    <col min="12" max="12" width="12" style="76" customWidth="1"/>
    <col min="13" max="13" width="13.5546875" style="163" customWidth="1"/>
    <col min="14" max="14" width="11.77734375" style="157" customWidth="1"/>
    <col min="15" max="19" width="11.21875" style="157" customWidth="1"/>
    <col min="20" max="20" width="10.5546875" style="163" customWidth="1"/>
    <col min="21" max="21" width="11" style="163" customWidth="1"/>
    <col min="22" max="22" width="10.5546875" style="163" customWidth="1"/>
    <col min="23" max="24" width="8.88671875" style="76" customWidth="1"/>
    <col min="25" max="32" width="8.88671875" style="215"/>
    <col min="33" max="16384" width="8.88671875" style="114"/>
  </cols>
  <sheetData>
    <row r="1" spans="2:22" ht="19.2" customHeight="1" x14ac:dyDescent="0.3">
      <c r="M1" s="149" t="s">
        <v>110</v>
      </c>
      <c r="N1" s="153">
        <v>2017</v>
      </c>
      <c r="O1" s="153">
        <v>2018</v>
      </c>
      <c r="P1" s="153">
        <v>2019</v>
      </c>
      <c r="Q1" s="153">
        <v>2020</v>
      </c>
      <c r="R1" s="153">
        <v>2021</v>
      </c>
      <c r="S1" s="153">
        <v>2022</v>
      </c>
      <c r="T1" s="153">
        <v>2023</v>
      </c>
      <c r="U1" s="153">
        <v>2024</v>
      </c>
      <c r="V1" s="153">
        <v>2025</v>
      </c>
    </row>
    <row r="2" spans="2:22" ht="21.6" x14ac:dyDescent="0.55000000000000004">
      <c r="B2" s="30" t="s">
        <v>42</v>
      </c>
      <c r="M2" s="149" t="s">
        <v>111</v>
      </c>
      <c r="N2" s="154">
        <v>42736</v>
      </c>
      <c r="O2" s="154">
        <v>43101</v>
      </c>
      <c r="P2" s="154">
        <v>43466</v>
      </c>
      <c r="Q2" s="154">
        <v>43831</v>
      </c>
      <c r="R2" s="154">
        <v>44197</v>
      </c>
      <c r="S2" s="154">
        <v>44562</v>
      </c>
      <c r="T2" s="155">
        <v>44927</v>
      </c>
      <c r="U2" s="155">
        <v>45292</v>
      </c>
      <c r="V2" s="155">
        <v>45658</v>
      </c>
    </row>
    <row r="3" spans="2:22" ht="22.2" thickBot="1" x14ac:dyDescent="0.6">
      <c r="B3" s="138">
        <f>Information!C6</f>
        <v>0</v>
      </c>
      <c r="M3" s="149" t="s">
        <v>112</v>
      </c>
      <c r="N3" s="156">
        <v>43100</v>
      </c>
      <c r="O3" s="156">
        <v>43465</v>
      </c>
      <c r="P3" s="156">
        <v>43830</v>
      </c>
      <c r="Q3" s="156">
        <v>44196</v>
      </c>
      <c r="R3" s="156">
        <v>44561</v>
      </c>
      <c r="S3" s="156">
        <v>44926</v>
      </c>
      <c r="T3" s="155">
        <v>45291</v>
      </c>
      <c r="U3" s="155">
        <v>45657</v>
      </c>
      <c r="V3" s="155">
        <v>46022</v>
      </c>
    </row>
    <row r="4" spans="2:22" ht="15" thickBot="1" x14ac:dyDescent="0.35">
      <c r="B4" s="12" t="s">
        <v>10</v>
      </c>
      <c r="C4" s="123">
        <v>2017</v>
      </c>
      <c r="F4" s="99" t="s">
        <v>117</v>
      </c>
      <c r="G4" s="139" t="s">
        <v>88</v>
      </c>
      <c r="M4" s="149" t="s">
        <v>109</v>
      </c>
      <c r="N4" s="157">
        <f ca="1">SUMPRODUCT(--(WEEKDAY(ROW(INDIRECT(N2&amp;":"&amp;N3)))=1))</f>
        <v>53</v>
      </c>
      <c r="O4" s="157">
        <f t="shared" ref="O4:V4" ca="1" si="0">SUMPRODUCT(--(WEEKDAY(ROW(INDIRECT(O2&amp;":"&amp;O3)))=1))</f>
        <v>52</v>
      </c>
      <c r="P4" s="157">
        <f t="shared" ca="1" si="0"/>
        <v>52</v>
      </c>
      <c r="Q4" s="157">
        <f t="shared" ca="1" si="0"/>
        <v>52</v>
      </c>
      <c r="R4" s="157">
        <f t="shared" ca="1" si="0"/>
        <v>52</v>
      </c>
      <c r="S4" s="157">
        <f t="shared" ca="1" si="0"/>
        <v>52</v>
      </c>
      <c r="T4" s="157">
        <f t="shared" ca="1" si="0"/>
        <v>53</v>
      </c>
      <c r="U4" s="157">
        <f t="shared" ca="1" si="0"/>
        <v>52</v>
      </c>
      <c r="V4" s="157">
        <f t="shared" ca="1" si="0"/>
        <v>52</v>
      </c>
    </row>
    <row r="5" spans="2:22" x14ac:dyDescent="0.3">
      <c r="B5" s="197" t="s">
        <v>93</v>
      </c>
      <c r="C5" s="197"/>
      <c r="D5" s="197"/>
      <c r="E5" s="197"/>
      <c r="F5" s="197"/>
      <c r="G5" s="197"/>
      <c r="H5" s="197"/>
      <c r="I5" s="197"/>
      <c r="J5" s="197"/>
      <c r="M5" s="149" t="s">
        <v>122</v>
      </c>
      <c r="N5" s="158" t="e">
        <f>IF(SUMPRODUCT((WEEKDAY('DATA INPUT'!$A$3:$A$3000)=1)*(YEAR('DATA INPUT'!$A$3:$A$3000)=N1)*(NOT(ISNUMBER(SEARCH("Harvest",'DATA INPUT'!$F$3:$F$3000))))*('DATA INPUT'!$A$3:$A$3000&lt;&gt;N19)*('DATA INPUT'!$A$3:$A$3000&lt;&gt;N37)*('DATA INPUT'!$A$3:$A$3000&lt;&gt;N38)*('DATA INPUT'!$A$3:$A$3000&lt;&gt;N39)*(('DATA INPUT'!$A$3:$A$3000&lt;&gt;"")/COUNTIF('DATA INPUT'!$A$3:$A$3000,'DATA INPUT'!$A$3:$A$3000&amp;"")))=0,#N/A,SUMPRODUCT((WEEKDAY('DATA INPUT'!$A$3:$A$3000)=1)*(YEAR('DATA INPUT'!$A$3:$A$3000)=N1)*(NOT(ISNUMBER(SEARCH("Harvest",'DATA INPUT'!$F$3:$F$3000))))*('DATA INPUT'!$A$3:$A$3000&lt;&gt;N19)*('DATA INPUT'!$A$3:$A$3000&lt;&gt;N37)*('DATA INPUT'!$A$3:$A$3000&lt;&gt;N38)*('DATA INPUT'!$A$3:$A$3000&lt;&gt;N39)*(('DATA INPUT'!$A$3:$A$3000&lt;&gt;"")/COUNTIF('DATA INPUT'!$A$3:$A$3000,'DATA INPUT'!$A$3:$A$3000&amp;"")))
)</f>
        <v>#N/A</v>
      </c>
      <c r="O5" s="158" t="e">
        <f>IF(SUMPRODUCT((WEEKDAY('DATA INPUT'!$A$3:$A$3000)=1)*(YEAR('DATA INPUT'!$A$3:$A$3000)=O1)*(NOT(ISNUMBER(SEARCH("Harvest",'DATA INPUT'!$F$3:$F$3000))))*('DATA INPUT'!$A$3:$A$3000&lt;&gt;O19)*('DATA INPUT'!$A$3:$A$3000&lt;&gt;O37)*('DATA INPUT'!$A$3:$A$3000&lt;&gt;O38)*('DATA INPUT'!$A$3:$A$3000&lt;&gt;O39)*(('DATA INPUT'!$A$3:$A$3000&lt;&gt;"")/COUNTIF('DATA INPUT'!$A$3:$A$3000,'DATA INPUT'!$A$3:$A$3000&amp;"")))=0,#N/A,SUMPRODUCT((WEEKDAY('DATA INPUT'!$A$3:$A$3000)=1)*(YEAR('DATA INPUT'!$A$3:$A$3000)=O1)*(NOT(ISNUMBER(SEARCH("Harvest",'DATA INPUT'!$F$3:$F$3000))))*('DATA INPUT'!$A$3:$A$3000&lt;&gt;O19)*('DATA INPUT'!$A$3:$A$3000&lt;&gt;O37)*('DATA INPUT'!$A$3:$A$3000&lt;&gt;O38)*('DATA INPUT'!$A$3:$A$3000&lt;&gt;O39)*(('DATA INPUT'!$A$3:$A$3000&lt;&gt;"")/COUNTIF('DATA INPUT'!$A$3:$A$3000,'DATA INPUT'!$A$3:$A$3000&amp;"")))
)</f>
        <v>#N/A</v>
      </c>
      <c r="P5" s="158" t="e">
        <f>IF(SUMPRODUCT((WEEKDAY('DATA INPUT'!$A$3:$A$3000)=1)*(YEAR('DATA INPUT'!$A$3:$A$3000)=P1)*(NOT(ISNUMBER(SEARCH("Harvest",'DATA INPUT'!$F$3:$F$3000))))*('DATA INPUT'!$A$3:$A$3000&lt;&gt;P19)*('DATA INPUT'!$A$3:$A$3000&lt;&gt;P37)*('DATA INPUT'!$A$3:$A$3000&lt;&gt;P38)*('DATA INPUT'!$A$3:$A$3000&lt;&gt;P39)*(('DATA INPUT'!$A$3:$A$3000&lt;&gt;"")/COUNTIF('DATA INPUT'!$A$3:$A$3000,'DATA INPUT'!$A$3:$A$3000&amp;"")))=0,#N/A,SUMPRODUCT((WEEKDAY('DATA INPUT'!$A$3:$A$3000)=1)*(YEAR('DATA INPUT'!$A$3:$A$3000)=P1)*(NOT(ISNUMBER(SEARCH("Harvest",'DATA INPUT'!$F$3:$F$3000))))*('DATA INPUT'!$A$3:$A$3000&lt;&gt;P19)*('DATA INPUT'!$A$3:$A$3000&lt;&gt;P37)*('DATA INPUT'!$A$3:$A$3000&lt;&gt;P38)*('DATA INPUT'!$A$3:$A$3000&lt;&gt;P39)*(('DATA INPUT'!$A$3:$A$3000&lt;&gt;"")/COUNTIF('DATA INPUT'!$A$3:$A$3000,'DATA INPUT'!$A$3:$A$3000&amp;"")))
)</f>
        <v>#N/A</v>
      </c>
      <c r="Q5" s="158" t="e">
        <f>IF(SUMPRODUCT((WEEKDAY('DATA INPUT'!$A$3:$A$3000)=1)*(YEAR('DATA INPUT'!$A$3:$A$3000)=Q1)*(NOT(ISNUMBER(SEARCH("Harvest",'DATA INPUT'!$F$3:$F$3000))))*('DATA INPUT'!$A$3:$A$3000&lt;&gt;Q19)*('DATA INPUT'!$A$3:$A$3000&lt;&gt;Q37)*('DATA INPUT'!$A$3:$A$3000&lt;&gt;Q38)*('DATA INPUT'!$A$3:$A$3000&lt;&gt;Q39)*(('DATA INPUT'!$A$3:$A$3000&lt;&gt;"")/COUNTIF('DATA INPUT'!$A$3:$A$3000,'DATA INPUT'!$A$3:$A$3000&amp;"")))=0,#N/A,SUMPRODUCT((WEEKDAY('DATA INPUT'!$A$3:$A$3000)=1)*(YEAR('DATA INPUT'!$A$3:$A$3000)=Q1)*(NOT(ISNUMBER(SEARCH("Harvest",'DATA INPUT'!$F$3:$F$3000))))*('DATA INPUT'!$A$3:$A$3000&lt;&gt;Q19)*('DATA INPUT'!$A$3:$A$3000&lt;&gt;Q37)*('DATA INPUT'!$A$3:$A$3000&lt;&gt;Q38)*('DATA INPUT'!$A$3:$A$3000&lt;&gt;Q39)*(('DATA INPUT'!$A$3:$A$3000&lt;&gt;"")/COUNTIF('DATA INPUT'!$A$3:$A$3000,'DATA INPUT'!$A$3:$A$3000&amp;"")))
)</f>
        <v>#N/A</v>
      </c>
      <c r="R5" s="158" t="e">
        <f>IF(SUMPRODUCT((WEEKDAY('DATA INPUT'!$A$3:$A$3000)=1)*(YEAR('DATA INPUT'!$A$3:$A$3000)=R1)*(NOT(ISNUMBER(SEARCH("Harvest",'DATA INPUT'!$F$3:$F$3000))))*('DATA INPUT'!$A$3:$A$3000&lt;&gt;R19)*('DATA INPUT'!$A$3:$A$3000&lt;&gt;R37)*('DATA INPUT'!$A$3:$A$3000&lt;&gt;R38)*('DATA INPUT'!$A$3:$A$3000&lt;&gt;R39)*(('DATA INPUT'!$A$3:$A$3000&lt;&gt;"")/COUNTIF('DATA INPUT'!$A$3:$A$3000,'DATA INPUT'!$A$3:$A$3000&amp;"")))=0,#N/A,SUMPRODUCT((WEEKDAY('DATA INPUT'!$A$3:$A$3000)=1)*(YEAR('DATA INPUT'!$A$3:$A$3000)=R1)*(NOT(ISNUMBER(SEARCH("Harvest",'DATA INPUT'!$F$3:$F$3000))))*('DATA INPUT'!$A$3:$A$3000&lt;&gt;R19)*('DATA INPUT'!$A$3:$A$3000&lt;&gt;R37)*('DATA INPUT'!$A$3:$A$3000&lt;&gt;R38)*('DATA INPUT'!$A$3:$A$3000&lt;&gt;R39)*(('DATA INPUT'!$A$3:$A$3000&lt;&gt;"")/COUNTIF('DATA INPUT'!$A$3:$A$3000,'DATA INPUT'!$A$3:$A$3000&amp;"")))
)</f>
        <v>#N/A</v>
      </c>
      <c r="S5" s="158" t="e">
        <f>IF(SUMPRODUCT((WEEKDAY('DATA INPUT'!$A$3:$A$3000)=1)*(YEAR('DATA INPUT'!$A$3:$A$3000)=S1)*(NOT(ISNUMBER(SEARCH("Harvest",'DATA INPUT'!$F$3:$F$3000))))*('DATA INPUT'!$A$3:$A$3000&lt;&gt;S19)*('DATA INPUT'!$A$3:$A$3000&lt;&gt;S37)*('DATA INPUT'!$A$3:$A$3000&lt;&gt;S38)*('DATA INPUT'!$A$3:$A$3000&lt;&gt;S39)*(('DATA INPUT'!$A$3:$A$3000&lt;&gt;"")/COUNTIF('DATA INPUT'!$A$3:$A$3000,'DATA INPUT'!$A$3:$A$3000&amp;"")))=0,#N/A,SUMPRODUCT((WEEKDAY('DATA INPUT'!$A$3:$A$3000)=1)*(YEAR('DATA INPUT'!$A$3:$A$3000)=S1)*(NOT(ISNUMBER(SEARCH("Harvest",'DATA INPUT'!$F$3:$F$3000))))*('DATA INPUT'!$A$3:$A$3000&lt;&gt;S19)*('DATA INPUT'!$A$3:$A$3000&lt;&gt;S37)*('DATA INPUT'!$A$3:$A$3000&lt;&gt;S38)*('DATA INPUT'!$A$3:$A$3000&lt;&gt;S39)*(('DATA INPUT'!$A$3:$A$3000&lt;&gt;"")/COUNTIF('DATA INPUT'!$A$3:$A$3000,'DATA INPUT'!$A$3:$A$3000&amp;"")))
)</f>
        <v>#N/A</v>
      </c>
      <c r="T5" s="158" t="e">
        <f>IF(SUMPRODUCT((WEEKDAY('DATA INPUT'!$A$3:$A$3000)=1)*(YEAR('DATA INPUT'!$A$3:$A$3000)=T1)*(NOT(ISNUMBER(SEARCH("Harvest",'DATA INPUT'!$F$3:$F$3000))))*('DATA INPUT'!$A$3:$A$3000&lt;&gt;T19)*('DATA INPUT'!$A$3:$A$3000&lt;&gt;T37)*('DATA INPUT'!$A$3:$A$3000&lt;&gt;T38)*('DATA INPUT'!$A$3:$A$3000&lt;&gt;T39)*(('DATA INPUT'!$A$3:$A$3000&lt;&gt;"")/COUNTIF('DATA INPUT'!$A$3:$A$3000,'DATA INPUT'!$A$3:$A$3000&amp;"")))=0,#N/A,SUMPRODUCT((WEEKDAY('DATA INPUT'!$A$3:$A$3000)=1)*(YEAR('DATA INPUT'!$A$3:$A$3000)=T1)*(NOT(ISNUMBER(SEARCH("Harvest",'DATA INPUT'!$F$3:$F$3000))))*('DATA INPUT'!$A$3:$A$3000&lt;&gt;T19)*('DATA INPUT'!$A$3:$A$3000&lt;&gt;T37)*('DATA INPUT'!$A$3:$A$3000&lt;&gt;T38)*('DATA INPUT'!$A$3:$A$3000&lt;&gt;T39)*(('DATA INPUT'!$A$3:$A$3000&lt;&gt;"")/COUNTIF('DATA INPUT'!$A$3:$A$3000,'DATA INPUT'!$A$3:$A$3000&amp;"")))
)</f>
        <v>#N/A</v>
      </c>
      <c r="U5" s="158" t="e">
        <f>IF(SUMPRODUCT((WEEKDAY('DATA INPUT'!$A$3:$A$3000)=1)*(YEAR('DATA INPUT'!$A$3:$A$3000)=U1)*(NOT(ISNUMBER(SEARCH("Harvest",'DATA INPUT'!$F$3:$F$3000))))*('DATA INPUT'!$A$3:$A$3000&lt;&gt;U19)*('DATA INPUT'!$A$3:$A$3000&lt;&gt;U37)*('DATA INPUT'!$A$3:$A$3000&lt;&gt;U38)*('DATA INPUT'!$A$3:$A$3000&lt;&gt;U39)*(('DATA INPUT'!$A$3:$A$3000&lt;&gt;"")/COUNTIF('DATA INPUT'!$A$3:$A$3000,'DATA INPUT'!$A$3:$A$3000&amp;"")))=0,#N/A,SUMPRODUCT((WEEKDAY('DATA INPUT'!$A$3:$A$3000)=1)*(YEAR('DATA INPUT'!$A$3:$A$3000)=U1)*(NOT(ISNUMBER(SEARCH("Harvest",'DATA INPUT'!$F$3:$F$3000))))*('DATA INPUT'!$A$3:$A$3000&lt;&gt;U19)*('DATA INPUT'!$A$3:$A$3000&lt;&gt;U37)*('DATA INPUT'!$A$3:$A$3000&lt;&gt;U38)*('DATA INPUT'!$A$3:$A$3000&lt;&gt;U39)*(('DATA INPUT'!$A$3:$A$3000&lt;&gt;"")/COUNTIF('DATA INPUT'!$A$3:$A$3000,'DATA INPUT'!$A$3:$A$3000&amp;"")))
)</f>
        <v>#N/A</v>
      </c>
      <c r="V5" s="158" t="e">
        <f>IF(SUMPRODUCT((WEEKDAY('DATA INPUT'!$A$3:$A$3000)=1)*(YEAR('DATA INPUT'!$A$3:$A$3000)=V1)*(NOT(ISNUMBER(SEARCH("Harvest",'DATA INPUT'!$F$3:$F$3000))))*('DATA INPUT'!$A$3:$A$3000&lt;&gt;V19)*('DATA INPUT'!$A$3:$A$3000&lt;&gt;V37)*('DATA INPUT'!$A$3:$A$3000&lt;&gt;V38)*('DATA INPUT'!$A$3:$A$3000&lt;&gt;V39)*(('DATA INPUT'!$A$3:$A$3000&lt;&gt;"")/COUNTIF('DATA INPUT'!$A$3:$A$3000,'DATA INPUT'!$A$3:$A$3000&amp;"")))=0,#N/A,SUMPRODUCT((WEEKDAY('DATA INPUT'!$A$3:$A$3000)=1)*(YEAR('DATA INPUT'!$A$3:$A$3000)=V1)*(NOT(ISNUMBER(SEARCH("Harvest",'DATA INPUT'!$F$3:$F$3000))))*('DATA INPUT'!$A$3:$A$3000&lt;&gt;V19)*('DATA INPUT'!$A$3:$A$3000&lt;&gt;V37)*('DATA INPUT'!$A$3:$A$3000&lt;&gt;V38)*('DATA INPUT'!$A$3:$A$3000&lt;&gt;V39)*(('DATA INPUT'!$A$3:$A$3000&lt;&gt;"")/COUNTIF('DATA INPUT'!$A$3:$A$3000,'DATA INPUT'!$A$3:$A$3000&amp;"")))
)</f>
        <v>#N/A</v>
      </c>
    </row>
    <row r="6" spans="2:22" ht="18.600000000000001" customHeight="1" x14ac:dyDescent="0.3">
      <c r="B6" s="197"/>
      <c r="C6" s="197"/>
      <c r="D6" s="197"/>
      <c r="E6" s="197"/>
      <c r="F6" s="197"/>
      <c r="G6" s="197"/>
      <c r="H6" s="197"/>
      <c r="I6" s="197"/>
      <c r="J6" s="197"/>
      <c r="M6" s="149" t="s">
        <v>130</v>
      </c>
      <c r="N6" s="158" t="e">
        <f>IF(SUMPRODUCT((WEEKDAY('DATA INPUT'!$A$3:$A$3000)=1)*(YEAR('DATA INPUT'!$A$3:$A$3000)=N1)*(NOT(ISNUMBER(SEARCH("Exclude",'DATA INPUT'!$F$3:$F$3000))))*(NOT(ISNUMBER(SEARCH("Harvest",'DATA INPUT'!$F$3:$F$3000))))*('DATA INPUT'!$A$3:$A$3000&lt;&gt;N19)*('DATA INPUT'!$A$3:$A$3000&lt;&gt;N37)*('DATA INPUT'!$A$3:$A$3000&lt;&gt;N38)*('DATA INPUT'!$A$3:$A$3000&lt;&gt;N39)*(('DATA INPUT'!$A$3:$A$3000&lt;&gt;"")/COUNTIF('DATA INPUT'!$A$3:$A$3000,'DATA INPUT'!$A$3:$A$3000&amp;"")))=0,#N/A,SUMPRODUCT((WEEKDAY('DATA INPUT'!$A$3:$A$3000)=1)*(YEAR('DATA INPUT'!$A$3:$A$3000)=N1)*(NOT(ISNUMBER(SEARCH("Exclude",'DATA INPUT'!$F$3:$F$3000))))*(NOT(ISNUMBER(SEARCH("Harvest",'DATA INPUT'!$F$3:$F$3000))))*('DATA INPUT'!$A$3:$A$3000&lt;&gt;N19)*('DATA INPUT'!$A$3:$A$3000&lt;&gt;N37)*('DATA INPUT'!$A$3:$A$3000&lt;&gt;N38)*('DATA INPUT'!$A$3:$A$3000&lt;&gt;N39)*(('DATA INPUT'!$A$3:$A$3000&lt;&gt;"")/COUNTIF('DATA INPUT'!$A$3:$A$3000,'DATA INPUT'!$A$3:$A$3000&amp;""))))</f>
        <v>#N/A</v>
      </c>
      <c r="O6" s="158" t="e">
        <f>IF(SUMPRODUCT((WEEKDAY('DATA INPUT'!$A$3:$A$3000)=1)*(YEAR('DATA INPUT'!$A$3:$A$3000)=O1)*(NOT(ISNUMBER(SEARCH("Exclude",'DATA INPUT'!$F$3:$F$3000))))*(NOT(ISNUMBER(SEARCH("Harvest",'DATA INPUT'!$F$3:$F$3000))))*('DATA INPUT'!$A$3:$A$3000&lt;&gt;O19)*('DATA INPUT'!$A$3:$A$3000&lt;&gt;O37)*('DATA INPUT'!$A$3:$A$3000&lt;&gt;O38)*('DATA INPUT'!$A$3:$A$3000&lt;&gt;O39)*(('DATA INPUT'!$A$3:$A$3000&lt;&gt;"")/COUNTIF('DATA INPUT'!$A$3:$A$3000,'DATA INPUT'!$A$3:$A$3000&amp;"")))=0,#N/A,SUMPRODUCT((WEEKDAY('DATA INPUT'!$A$3:$A$3000)=1)*(YEAR('DATA INPUT'!$A$3:$A$3000)=O1)*(NOT(ISNUMBER(SEARCH("Exclude",'DATA INPUT'!$F$3:$F$3000))))*(NOT(ISNUMBER(SEARCH("Harvest",'DATA INPUT'!$F$3:$F$3000))))*('DATA INPUT'!$A$3:$A$3000&lt;&gt;O19)*('DATA INPUT'!$A$3:$A$3000&lt;&gt;O37)*('DATA INPUT'!$A$3:$A$3000&lt;&gt;O38)*('DATA INPUT'!$A$3:$A$3000&lt;&gt;O39)*(('DATA INPUT'!$A$3:$A$3000&lt;&gt;"")/COUNTIF('DATA INPUT'!$A$3:$A$3000,'DATA INPUT'!$A$3:$A$3000&amp;""))))</f>
        <v>#N/A</v>
      </c>
      <c r="P6" s="158" t="e">
        <f>IF(SUMPRODUCT((WEEKDAY('DATA INPUT'!$A$3:$A$3000)=1)*(YEAR('DATA INPUT'!$A$3:$A$3000)=P1)*(NOT(ISNUMBER(SEARCH("Exclude",'DATA INPUT'!$F$3:$F$3000))))*(NOT(ISNUMBER(SEARCH("Harvest",'DATA INPUT'!$F$3:$F$3000))))*('DATA INPUT'!$A$3:$A$3000&lt;&gt;P19)*('DATA INPUT'!$A$3:$A$3000&lt;&gt;P37)*('DATA INPUT'!$A$3:$A$3000&lt;&gt;P38)*('DATA INPUT'!$A$3:$A$3000&lt;&gt;P39)*(('DATA INPUT'!$A$3:$A$3000&lt;&gt;"")/COUNTIF('DATA INPUT'!$A$3:$A$3000,'DATA INPUT'!$A$3:$A$3000&amp;"")))=0,#N/A,SUMPRODUCT((WEEKDAY('DATA INPUT'!$A$3:$A$3000)=1)*(YEAR('DATA INPUT'!$A$3:$A$3000)=P1)*(NOT(ISNUMBER(SEARCH("Exclude",'DATA INPUT'!$F$3:$F$3000))))*(NOT(ISNUMBER(SEARCH("Harvest",'DATA INPUT'!$F$3:$F$3000))))*('DATA INPUT'!$A$3:$A$3000&lt;&gt;P19)*('DATA INPUT'!$A$3:$A$3000&lt;&gt;P37)*('DATA INPUT'!$A$3:$A$3000&lt;&gt;P38)*('DATA INPUT'!$A$3:$A$3000&lt;&gt;P39)*(('DATA INPUT'!$A$3:$A$3000&lt;&gt;"")/COUNTIF('DATA INPUT'!$A$3:$A$3000,'DATA INPUT'!$A$3:$A$3000&amp;""))))</f>
        <v>#N/A</v>
      </c>
      <c r="Q6" s="158" t="e">
        <f>IF(SUMPRODUCT((WEEKDAY('DATA INPUT'!$A$3:$A$3000)=1)*(YEAR('DATA INPUT'!$A$3:$A$3000)=Q1)*(NOT(ISNUMBER(SEARCH("Exclude",'DATA INPUT'!$F$3:$F$3000))))*(NOT(ISNUMBER(SEARCH("Harvest",'DATA INPUT'!$F$3:$F$3000))))*('DATA INPUT'!$A$3:$A$3000&lt;&gt;Q19)*('DATA INPUT'!$A$3:$A$3000&lt;&gt;Q37)*('DATA INPUT'!$A$3:$A$3000&lt;&gt;Q38)*('DATA INPUT'!$A$3:$A$3000&lt;&gt;Q39)*(('DATA INPUT'!$A$3:$A$3000&lt;&gt;"")/COUNTIF('DATA INPUT'!$A$3:$A$3000,'DATA INPUT'!$A$3:$A$3000&amp;"")))=0,#N/A,SUMPRODUCT((WEEKDAY('DATA INPUT'!$A$3:$A$3000)=1)*(YEAR('DATA INPUT'!$A$3:$A$3000)=Q1)*(NOT(ISNUMBER(SEARCH("Exclude",'DATA INPUT'!$F$3:$F$3000))))*(NOT(ISNUMBER(SEARCH("Harvest",'DATA INPUT'!$F$3:$F$3000))))*('DATA INPUT'!$A$3:$A$3000&lt;&gt;Q19)*('DATA INPUT'!$A$3:$A$3000&lt;&gt;Q37)*('DATA INPUT'!$A$3:$A$3000&lt;&gt;Q38)*('DATA INPUT'!$A$3:$A$3000&lt;&gt;Q39)*(('DATA INPUT'!$A$3:$A$3000&lt;&gt;"")/COUNTIF('DATA INPUT'!$A$3:$A$3000,'DATA INPUT'!$A$3:$A$3000&amp;""))))</f>
        <v>#N/A</v>
      </c>
      <c r="R6" s="158" t="e">
        <f>IF(SUMPRODUCT((WEEKDAY('DATA INPUT'!$A$3:$A$3000)=1)*(YEAR('DATA INPUT'!$A$3:$A$3000)=R1)*(NOT(ISNUMBER(SEARCH("Exclude",'DATA INPUT'!$F$3:$F$3000))))*(NOT(ISNUMBER(SEARCH("Harvest",'DATA INPUT'!$F$3:$F$3000))))*('DATA INPUT'!$A$3:$A$3000&lt;&gt;R19)*('DATA INPUT'!$A$3:$A$3000&lt;&gt;R37)*('DATA INPUT'!$A$3:$A$3000&lt;&gt;R38)*('DATA INPUT'!$A$3:$A$3000&lt;&gt;R39)*(('DATA INPUT'!$A$3:$A$3000&lt;&gt;"")/COUNTIF('DATA INPUT'!$A$3:$A$3000,'DATA INPUT'!$A$3:$A$3000&amp;"")))=0,#N/A,SUMPRODUCT((WEEKDAY('DATA INPUT'!$A$3:$A$3000)=1)*(YEAR('DATA INPUT'!$A$3:$A$3000)=R1)*(NOT(ISNUMBER(SEARCH("Exclude",'DATA INPUT'!$F$3:$F$3000))))*(NOT(ISNUMBER(SEARCH("Harvest",'DATA INPUT'!$F$3:$F$3000))))*('DATA INPUT'!$A$3:$A$3000&lt;&gt;R19)*('DATA INPUT'!$A$3:$A$3000&lt;&gt;R37)*('DATA INPUT'!$A$3:$A$3000&lt;&gt;R38)*('DATA INPUT'!$A$3:$A$3000&lt;&gt;R39)*(('DATA INPUT'!$A$3:$A$3000&lt;&gt;"")/COUNTIF('DATA INPUT'!$A$3:$A$3000,'DATA INPUT'!$A$3:$A$3000&amp;""))))</f>
        <v>#N/A</v>
      </c>
      <c r="S6" s="158" t="e">
        <f>IF(SUMPRODUCT((WEEKDAY('DATA INPUT'!$A$3:$A$3000)=1)*(YEAR('DATA INPUT'!$A$3:$A$3000)=S1)*(NOT(ISNUMBER(SEARCH("Exclude",'DATA INPUT'!$F$3:$F$3000))))*(NOT(ISNUMBER(SEARCH("Harvest",'DATA INPUT'!$F$3:$F$3000))))*('DATA INPUT'!$A$3:$A$3000&lt;&gt;S19)*('DATA INPUT'!$A$3:$A$3000&lt;&gt;S37)*('DATA INPUT'!$A$3:$A$3000&lt;&gt;S38)*('DATA INPUT'!$A$3:$A$3000&lt;&gt;S39)*(('DATA INPUT'!$A$3:$A$3000&lt;&gt;"")/COUNTIF('DATA INPUT'!$A$3:$A$3000,'DATA INPUT'!$A$3:$A$3000&amp;"")))=0,#N/A,SUMPRODUCT((WEEKDAY('DATA INPUT'!$A$3:$A$3000)=1)*(YEAR('DATA INPUT'!$A$3:$A$3000)=S1)*(NOT(ISNUMBER(SEARCH("Exclude",'DATA INPUT'!$F$3:$F$3000))))*(NOT(ISNUMBER(SEARCH("Harvest",'DATA INPUT'!$F$3:$F$3000))))*('DATA INPUT'!$A$3:$A$3000&lt;&gt;S19)*('DATA INPUT'!$A$3:$A$3000&lt;&gt;S37)*('DATA INPUT'!$A$3:$A$3000&lt;&gt;S38)*('DATA INPUT'!$A$3:$A$3000&lt;&gt;S39)*(('DATA INPUT'!$A$3:$A$3000&lt;&gt;"")/COUNTIF('DATA INPUT'!$A$3:$A$3000,'DATA INPUT'!$A$3:$A$3000&amp;""))))</f>
        <v>#N/A</v>
      </c>
      <c r="T6" s="158" t="e">
        <f>IF(SUMPRODUCT((WEEKDAY('DATA INPUT'!$A$3:$A$3000)=1)*(YEAR('DATA INPUT'!$A$3:$A$3000)=T1)*(NOT(ISNUMBER(SEARCH("Exclude",'DATA INPUT'!$F$3:$F$3000))))*(NOT(ISNUMBER(SEARCH("Harvest",'DATA INPUT'!$F$3:$F$3000))))*('DATA INPUT'!$A$3:$A$3000&lt;&gt;T19)*('DATA INPUT'!$A$3:$A$3000&lt;&gt;T37)*('DATA INPUT'!$A$3:$A$3000&lt;&gt;T38)*('DATA INPUT'!$A$3:$A$3000&lt;&gt;T39)*(('DATA INPUT'!$A$3:$A$3000&lt;&gt;"")/COUNTIF('DATA INPUT'!$A$3:$A$3000,'DATA INPUT'!$A$3:$A$3000&amp;"")))=0,#N/A,SUMPRODUCT((WEEKDAY('DATA INPUT'!$A$3:$A$3000)=1)*(YEAR('DATA INPUT'!$A$3:$A$3000)=T1)*(NOT(ISNUMBER(SEARCH("Exclude",'DATA INPUT'!$F$3:$F$3000))))*(NOT(ISNUMBER(SEARCH("Harvest",'DATA INPUT'!$F$3:$F$3000))))*('DATA INPUT'!$A$3:$A$3000&lt;&gt;T19)*('DATA INPUT'!$A$3:$A$3000&lt;&gt;T37)*('DATA INPUT'!$A$3:$A$3000&lt;&gt;T38)*('DATA INPUT'!$A$3:$A$3000&lt;&gt;T39)*(('DATA INPUT'!$A$3:$A$3000&lt;&gt;"")/COUNTIF('DATA INPUT'!$A$3:$A$3000,'DATA INPUT'!$A$3:$A$3000&amp;""))))</f>
        <v>#N/A</v>
      </c>
      <c r="U6" s="158" t="e">
        <f>IF(SUMPRODUCT((WEEKDAY('DATA INPUT'!$A$3:$A$3000)=1)*(YEAR('DATA INPUT'!$A$3:$A$3000)=U1)*(NOT(ISNUMBER(SEARCH("Exclude",'DATA INPUT'!$F$3:$F$3000))))*(NOT(ISNUMBER(SEARCH("Harvest",'DATA INPUT'!$F$3:$F$3000))))*('DATA INPUT'!$A$3:$A$3000&lt;&gt;U19)*('DATA INPUT'!$A$3:$A$3000&lt;&gt;U37)*('DATA INPUT'!$A$3:$A$3000&lt;&gt;U38)*('DATA INPUT'!$A$3:$A$3000&lt;&gt;U39)*(('DATA INPUT'!$A$3:$A$3000&lt;&gt;"")/COUNTIF('DATA INPUT'!$A$3:$A$3000,'DATA INPUT'!$A$3:$A$3000&amp;"")))=0,#N/A,SUMPRODUCT((WEEKDAY('DATA INPUT'!$A$3:$A$3000)=1)*(YEAR('DATA INPUT'!$A$3:$A$3000)=U1)*(NOT(ISNUMBER(SEARCH("Exclude",'DATA INPUT'!$F$3:$F$3000))))*(NOT(ISNUMBER(SEARCH("Harvest",'DATA INPUT'!$F$3:$F$3000))))*('DATA INPUT'!$A$3:$A$3000&lt;&gt;U19)*('DATA INPUT'!$A$3:$A$3000&lt;&gt;U37)*('DATA INPUT'!$A$3:$A$3000&lt;&gt;U38)*('DATA INPUT'!$A$3:$A$3000&lt;&gt;U39)*(('DATA INPUT'!$A$3:$A$3000&lt;&gt;"")/COUNTIF('DATA INPUT'!$A$3:$A$3000,'DATA INPUT'!$A$3:$A$3000&amp;""))))</f>
        <v>#N/A</v>
      </c>
      <c r="V6" s="158" t="e">
        <f>IF(SUMPRODUCT((WEEKDAY('DATA INPUT'!$A$3:$A$3000)=1)*(YEAR('DATA INPUT'!$A$3:$A$3000)=V1)*(NOT(ISNUMBER(SEARCH("Exclude",'DATA INPUT'!$F$3:$F$3000))))*(NOT(ISNUMBER(SEARCH("Harvest",'DATA INPUT'!$F$3:$F$3000))))*('DATA INPUT'!$A$3:$A$3000&lt;&gt;V19)*('DATA INPUT'!$A$3:$A$3000&lt;&gt;V37)*('DATA INPUT'!$A$3:$A$3000&lt;&gt;V38)*('DATA INPUT'!$A$3:$A$3000&lt;&gt;V39)*(('DATA INPUT'!$A$3:$A$3000&lt;&gt;"")/COUNTIF('DATA INPUT'!$A$3:$A$3000,'DATA INPUT'!$A$3:$A$3000&amp;"")))=0,#N/A,SUMPRODUCT((WEEKDAY('DATA INPUT'!$A$3:$A$3000)=1)*(YEAR('DATA INPUT'!$A$3:$A$3000)=V1)*(NOT(ISNUMBER(SEARCH("Exclude",'DATA INPUT'!$F$3:$F$3000))))*(NOT(ISNUMBER(SEARCH("Harvest",'DATA INPUT'!$F$3:$F$3000))))*('DATA INPUT'!$A$3:$A$3000&lt;&gt;V19)*('DATA INPUT'!$A$3:$A$3000&lt;&gt;V37)*('DATA INPUT'!$A$3:$A$3000&lt;&gt;V38)*('DATA INPUT'!$A$3:$A$3000&lt;&gt;V39)*(('DATA INPUT'!$A$3:$A$3000&lt;&gt;"")/COUNTIF('DATA INPUT'!$A$3:$A$3000,'DATA INPUT'!$A$3:$A$3000&amp;""))))</f>
        <v>#N/A</v>
      </c>
    </row>
    <row r="7" spans="2:22" x14ac:dyDescent="0.3">
      <c r="L7" s="159" t="s">
        <v>102</v>
      </c>
      <c r="M7" s="149" t="s">
        <v>101</v>
      </c>
      <c r="N7" s="153">
        <f t="shared" ref="N7:V7" si="1">N1</f>
        <v>2017</v>
      </c>
      <c r="O7" s="153">
        <f t="shared" si="1"/>
        <v>2018</v>
      </c>
      <c r="P7" s="153">
        <f t="shared" si="1"/>
        <v>2019</v>
      </c>
      <c r="Q7" s="153">
        <f t="shared" si="1"/>
        <v>2020</v>
      </c>
      <c r="R7" s="153">
        <f t="shared" si="1"/>
        <v>2021</v>
      </c>
      <c r="S7" s="153">
        <f t="shared" si="1"/>
        <v>2022</v>
      </c>
      <c r="T7" s="153">
        <f t="shared" si="1"/>
        <v>2023</v>
      </c>
      <c r="U7" s="153">
        <f t="shared" si="1"/>
        <v>2024</v>
      </c>
      <c r="V7" s="153">
        <f t="shared" si="1"/>
        <v>2025</v>
      </c>
    </row>
    <row r="8" spans="2:22" ht="15" thickBot="1" x14ac:dyDescent="0.35">
      <c r="B8" s="12" t="s">
        <v>24</v>
      </c>
      <c r="L8" s="159" t="s">
        <v>103</v>
      </c>
      <c r="M8" s="160" t="e">
        <f>HLOOKUP($C$4,$N$7:$V$9,2,FALSE)</f>
        <v>#N/A</v>
      </c>
      <c r="N8" s="158" t="e">
        <f>SUMPRODUCT((WEEKDAY('DATA INPUT'!$A$3:$A$3000)=1)*(YEAR('DATA INPUT'!$A$3:$A$3000)=N1)*(NOT(ISNUMBER(SEARCH("Harvest",'DATA INPUT'!$F$3:$F$3000))))*('DATA INPUT'!$A$3:$A$3000&lt;&gt;N19)*('DATA INPUT'!$A$3:$A$3000&lt;&gt;N37)*('DATA INPUT'!$A$3:$A$3000&lt;&gt;N38)*('DATA INPUT'!$A$3:$A$3000&lt;&gt;N39)*('DATA INPUT'!$C$3:$C$3000))/N5</f>
        <v>#N/A</v>
      </c>
      <c r="O8" s="158" t="e">
        <f>SUMPRODUCT((WEEKDAY('DATA INPUT'!$A$3:$A$3000)=1)*(YEAR('DATA INPUT'!$A$3:$A$3000)=O1)*(NOT(ISNUMBER(SEARCH("Harvest",'DATA INPUT'!$F$3:$F$3000))))*('DATA INPUT'!$A$3:$A$3000&lt;&gt;O19)*('DATA INPUT'!$A$3:$A$3000&lt;&gt;O37)*('DATA INPUT'!$A$3:$A$3000&lt;&gt;O38)*('DATA INPUT'!$A$3:$A$3000&lt;&gt;O39)*('DATA INPUT'!$C$3:$C$3000))/O5</f>
        <v>#N/A</v>
      </c>
      <c r="P8" s="158" t="e">
        <f>SUMPRODUCT((WEEKDAY('DATA INPUT'!$A$3:$A$3000)=1)*(YEAR('DATA INPUT'!$A$3:$A$3000)=P1)*(NOT(ISNUMBER(SEARCH("Harvest",'DATA INPUT'!$F$3:$F$3000))))*('DATA INPUT'!$A$3:$A$3000&lt;&gt;P19)*('DATA INPUT'!$A$3:$A$3000&lt;&gt;P37)*('DATA INPUT'!$A$3:$A$3000&lt;&gt;P38)*('DATA INPUT'!$A$3:$A$3000&lt;&gt;P39)*('DATA INPUT'!$C$3:$C$3000))/P5</f>
        <v>#N/A</v>
      </c>
      <c r="Q8" s="158" t="e">
        <f>SUMPRODUCT((WEEKDAY('DATA INPUT'!$A$3:$A$3000)=1)*(YEAR('DATA INPUT'!$A$3:$A$3000)=Q1)*(NOT(ISNUMBER(SEARCH("Harvest",'DATA INPUT'!$F$3:$F$3000))))*('DATA INPUT'!$A$3:$A$3000&lt;&gt;Q19)*('DATA INPUT'!$A$3:$A$3000&lt;&gt;Q37)*('DATA INPUT'!$A$3:$A$3000&lt;&gt;Q38)*('DATA INPUT'!$A$3:$A$3000&lt;&gt;Q39)*('DATA INPUT'!$C$3:$C$3000))/Q5</f>
        <v>#N/A</v>
      </c>
      <c r="R8" s="158" t="e">
        <f>SUMPRODUCT((WEEKDAY('DATA INPUT'!$A$3:$A$3000)=1)*(YEAR('DATA INPUT'!$A$3:$A$3000)=R1)*(NOT(ISNUMBER(SEARCH("Harvest",'DATA INPUT'!$F$3:$F$3000))))*('DATA INPUT'!$A$3:$A$3000&lt;&gt;R19)*('DATA INPUT'!$A$3:$A$3000&lt;&gt;R37)*('DATA INPUT'!$A$3:$A$3000&lt;&gt;R38)*('DATA INPUT'!$A$3:$A$3000&lt;&gt;R39)*('DATA INPUT'!$C$3:$C$3000))/R5</f>
        <v>#N/A</v>
      </c>
      <c r="S8" s="158" t="e">
        <f>SUMPRODUCT((WEEKDAY('DATA INPUT'!$A$3:$A$3000)=1)*(YEAR('DATA INPUT'!$A$3:$A$3000)=S1)*(NOT(ISNUMBER(SEARCH("Harvest",'DATA INPUT'!$F$3:$F$3000))))*('DATA INPUT'!$A$3:$A$3000&lt;&gt;S19)*('DATA INPUT'!$A$3:$A$3000&lt;&gt;S37)*('DATA INPUT'!$A$3:$A$3000&lt;&gt;S38)*('DATA INPUT'!$A$3:$A$3000&lt;&gt;S39)*('DATA INPUT'!$C$3:$C$3000))/S5</f>
        <v>#N/A</v>
      </c>
      <c r="T8" s="158" t="e">
        <f>SUMPRODUCT((WEEKDAY('DATA INPUT'!$A$3:$A$3000)=1)*(YEAR('DATA INPUT'!$A$3:$A$3000)=T1)*(NOT(ISNUMBER(SEARCH("Harvest",'DATA INPUT'!$F$3:$F$3000))))*('DATA INPUT'!$A$3:$A$3000&lt;&gt;T19)*('DATA INPUT'!$A$3:$A$3000&lt;&gt;T37)*('DATA INPUT'!$A$3:$A$3000&lt;&gt;T38)*('DATA INPUT'!$A$3:$A$3000&lt;&gt;T39)*('DATA INPUT'!$C$3:$C$3000))/T5</f>
        <v>#N/A</v>
      </c>
      <c r="U8" s="158" t="e">
        <f>SUMPRODUCT((WEEKDAY('DATA INPUT'!$A$3:$A$3000)=1)*(YEAR('DATA INPUT'!$A$3:$A$3000)=U1)*(NOT(ISNUMBER(SEARCH("Harvest",'DATA INPUT'!$F$3:$F$3000))))*('DATA INPUT'!$A$3:$A$3000&lt;&gt;U19)*('DATA INPUT'!$A$3:$A$3000&lt;&gt;U37)*('DATA INPUT'!$A$3:$A$3000&lt;&gt;U38)*('DATA INPUT'!$A$3:$A$3000&lt;&gt;U39)*('DATA INPUT'!$C$3:$C$3000))/U5</f>
        <v>#N/A</v>
      </c>
      <c r="V8" s="158" t="e">
        <f>SUMPRODUCT((WEEKDAY('DATA INPUT'!$A$3:$A$3000)=1)*(YEAR('DATA INPUT'!$A$3:$A$3000)=V1)*(NOT(ISNUMBER(SEARCH("Harvest",'DATA INPUT'!$F$3:$F$3000))))*('DATA INPUT'!$A$3:$A$3000&lt;&gt;V19)*('DATA INPUT'!$A$3:$A$3000&lt;&gt;V37)*('DATA INPUT'!$A$3:$A$3000&lt;&gt;V38)*('DATA INPUT'!$A$3:$A$3000&lt;&gt;V39)*('DATA INPUT'!$C$3:$C$3000))/V5</f>
        <v>#N/A</v>
      </c>
    </row>
    <row r="9" spans="2:22" ht="15" customHeight="1" thickBot="1" x14ac:dyDescent="0.35">
      <c r="B9" s="12"/>
      <c r="C9" s="195" t="s">
        <v>25</v>
      </c>
      <c r="D9" s="195"/>
      <c r="E9" s="195"/>
      <c r="F9" s="195"/>
      <c r="H9" s="96" t="s">
        <v>47</v>
      </c>
      <c r="I9" s="124" t="e">
        <f>IF(G4="Yes",(HLOOKUP($C$4,$N$7:$V$11,2,FALSE)),(HLOOKUP($C$4,$N$7:$V$11,4,FALSE)))</f>
        <v>#N/A</v>
      </c>
      <c r="L9" s="159" t="s">
        <v>104</v>
      </c>
      <c r="M9" s="160" t="e">
        <f>HLOOKUP($C$4,$N$7:$V$9,3,FALSE)</f>
        <v>#N/A</v>
      </c>
      <c r="N9" s="158" t="e">
        <f>SUMPRODUCT((WEEKDAY('DATA INPUT'!$A$3:$A$3000)=1)*(YEAR('DATA INPUT'!$A$3:$A$3000)=N1)*(NOT(ISNUMBER(SEARCH("Harvest",'DATA INPUT'!$F$3:$F$3000))))*('DATA INPUT'!$A$3:$A$3000&lt;&gt;N19)*('DATA INPUT'!$A$3:$A$3000&lt;&gt;N37)*('DATA INPUT'!$A$3:$A$3000&lt;&gt;N38)*('DATA INPUT'!$A$3:$A$3000&lt;&gt;N39)*('DATA INPUT'!$D$3:$D$3000))/N6</f>
        <v>#N/A</v>
      </c>
      <c r="O9" s="158" t="e">
        <f>SUMPRODUCT((WEEKDAY('DATA INPUT'!$A$3:$A$3000)=1)*(YEAR('DATA INPUT'!$A$3:$A$3000)=O1)*(NOT(ISNUMBER(SEARCH("Harvest",'DATA INPUT'!$F$3:$F$3000))))*('DATA INPUT'!$A$3:$A$3000&lt;&gt;O19)*('DATA INPUT'!$A$3:$A$3000&lt;&gt;O37)*('DATA INPUT'!$A$3:$A$3000&lt;&gt;O38)*('DATA INPUT'!$A$3:$A$3000&lt;&gt;O39)*('DATA INPUT'!$D$3:$D$3000))/O6</f>
        <v>#N/A</v>
      </c>
      <c r="P9" s="158" t="e">
        <f>SUMPRODUCT((WEEKDAY('DATA INPUT'!$A$3:$A$3000)=1)*(YEAR('DATA INPUT'!$A$3:$A$3000)=P1)*(NOT(ISNUMBER(SEARCH("Harvest",'DATA INPUT'!$F$3:$F$3000))))*('DATA INPUT'!$A$3:$A$3000&lt;&gt;P19)*('DATA INPUT'!$A$3:$A$3000&lt;&gt;P37)*('DATA INPUT'!$A$3:$A$3000&lt;&gt;P38)*('DATA INPUT'!$A$3:$A$3000&lt;&gt;P39)*('DATA INPUT'!$D$3:$D$3000))/P6</f>
        <v>#N/A</v>
      </c>
      <c r="Q9" s="158" t="e">
        <f>SUMPRODUCT((WEEKDAY('DATA INPUT'!$A$3:$A$3000)=1)*(YEAR('DATA INPUT'!$A$3:$A$3000)=Q1)*(NOT(ISNUMBER(SEARCH("Harvest",'DATA INPUT'!$F$3:$F$3000))))*('DATA INPUT'!$A$3:$A$3000&lt;&gt;Q19)*('DATA INPUT'!$A$3:$A$3000&lt;&gt;Q37)*('DATA INPUT'!$A$3:$A$3000&lt;&gt;Q38)*('DATA INPUT'!$A$3:$A$3000&lt;&gt;Q39)*('DATA INPUT'!$D$3:$D$3000))/Q6</f>
        <v>#N/A</v>
      </c>
      <c r="R9" s="158" t="e">
        <f>SUMPRODUCT((WEEKDAY('DATA INPUT'!$A$3:$A$3000)=1)*(YEAR('DATA INPUT'!$A$3:$A$3000)=R1)*(NOT(ISNUMBER(SEARCH("Harvest",'DATA INPUT'!$F$3:$F$3000))))*('DATA INPUT'!$A$3:$A$3000&lt;&gt;R19)*('DATA INPUT'!$A$3:$A$3000&lt;&gt;R37)*('DATA INPUT'!$A$3:$A$3000&lt;&gt;R38)*('DATA INPUT'!$A$3:$A$3000&lt;&gt;R39)*('DATA INPUT'!$D$3:$D$3000))/R6</f>
        <v>#N/A</v>
      </c>
      <c r="S9" s="158" t="e">
        <f>SUMPRODUCT((WEEKDAY('DATA INPUT'!$A$3:$A$3000)=1)*(YEAR('DATA INPUT'!$A$3:$A$3000)=S1)*(NOT(ISNUMBER(SEARCH("Harvest",'DATA INPUT'!$F$3:$F$3000))))*('DATA INPUT'!$A$3:$A$3000&lt;&gt;S19)*('DATA INPUT'!$A$3:$A$3000&lt;&gt;S37)*('DATA INPUT'!$A$3:$A$3000&lt;&gt;S38)*('DATA INPUT'!$A$3:$A$3000&lt;&gt;S39)*('DATA INPUT'!$D$3:$D$3000))/S6</f>
        <v>#N/A</v>
      </c>
      <c r="T9" s="158" t="e">
        <f>SUMPRODUCT((WEEKDAY('DATA INPUT'!$A$3:$A$3000)=1)*(YEAR('DATA INPUT'!$A$3:$A$3000)=T1)*(NOT(ISNUMBER(SEARCH("Harvest",'DATA INPUT'!$F$3:$F$3000))))*('DATA INPUT'!$A$3:$A$3000&lt;&gt;T19)*('DATA INPUT'!$A$3:$A$3000&lt;&gt;T37)*('DATA INPUT'!$A$3:$A$3000&lt;&gt;T38)*('DATA INPUT'!$A$3:$A$3000&lt;&gt;T39)*('DATA INPUT'!$D$3:$D$3000))/T6</f>
        <v>#N/A</v>
      </c>
      <c r="U9" s="158" t="e">
        <f>SUMPRODUCT((WEEKDAY('DATA INPUT'!$A$3:$A$3000)=1)*(YEAR('DATA INPUT'!$A$3:$A$3000)=U1)*(NOT(ISNUMBER(SEARCH("Harvest",'DATA INPUT'!$F$3:$F$3000))))*('DATA INPUT'!$A$3:$A$3000&lt;&gt;U19)*('DATA INPUT'!$A$3:$A$3000&lt;&gt;U37)*('DATA INPUT'!$A$3:$A$3000&lt;&gt;U38)*('DATA INPUT'!$A$3:$A$3000&lt;&gt;U39)*('DATA INPUT'!$D$3:$D$3000))/U6</f>
        <v>#N/A</v>
      </c>
      <c r="V9" s="158" t="e">
        <f>SUMPRODUCT((WEEKDAY('DATA INPUT'!$A$3:$A$3000)=1)*(YEAR('DATA INPUT'!$A$3:$A$3000)=V1)*(NOT(ISNUMBER(SEARCH("Harvest",'DATA INPUT'!$F$3:$F$3000))))*('DATA INPUT'!$A$3:$A$3000&lt;&gt;V19)*('DATA INPUT'!$A$3:$A$3000&lt;&gt;V37)*('DATA INPUT'!$A$3:$A$3000&lt;&gt;V38)*('DATA INPUT'!$A$3:$A$3000&lt;&gt;V39)*('DATA INPUT'!$D$3:$D$3000))/V6</f>
        <v>#N/A</v>
      </c>
    </row>
    <row r="10" spans="2:22" ht="15" thickBot="1" x14ac:dyDescent="0.35">
      <c r="B10" s="12"/>
      <c r="C10" s="195" t="s">
        <v>26</v>
      </c>
      <c r="D10" s="195"/>
      <c r="E10" s="195"/>
      <c r="F10" s="195"/>
      <c r="G10" s="195"/>
      <c r="H10" s="96" t="s">
        <v>48</v>
      </c>
      <c r="I10" s="124" t="e">
        <f>IF(G4="Yes",(HLOOKUP($C$4,$N$7:$V$11,3,FALSE)),(HLOOKUP($C$4,$N$7:$V$11,5,FALSE)))</f>
        <v>#N/A</v>
      </c>
      <c r="L10" s="159" t="s">
        <v>105</v>
      </c>
      <c r="M10" s="160" t="e">
        <f>HLOOKUP($C$4,$N$7:$V$11,4,FALSE)</f>
        <v>#N/A</v>
      </c>
      <c r="N10" s="158" t="e">
        <f>SUMPRODUCT((WEEKDAY('DATA INPUT'!$A$3:$A$3000)=1)*(YEAR('DATA INPUT'!$A$3:$A$3000)=N1)*(NOT(ISNUMBER(SEARCH("Harvest",'DATA INPUT'!$F$3:$F$3000))))*(NOT(ISNUMBER(SEARCH("Exclude",'DATA INPUT'!$F$3:$F$3000))))*('DATA INPUT'!$A$3:$A$3000&lt;&gt;N19)*('DATA INPUT'!$A$3:$A$3000&lt;&gt;N37)*('DATA INPUT'!$A$3:$A$3000&lt;&gt;N38)*('DATA INPUT'!$A$3:$A$3000&lt;&gt;N39)*('DATA INPUT'!$C$3:$C$3000))/N6</f>
        <v>#N/A</v>
      </c>
      <c r="O10" s="158" t="e">
        <f>SUMPRODUCT((WEEKDAY('DATA INPUT'!$A$3:$A$3000)=1)*(YEAR('DATA INPUT'!$A$3:$A$3000)=O1)*(NOT(ISNUMBER(SEARCH("Harvest",'DATA INPUT'!$F$3:$F$3000))))*(NOT(ISNUMBER(SEARCH("Exclude",'DATA INPUT'!$F$3:$F$3000))))*('DATA INPUT'!$A$3:$A$3000&lt;&gt;O19)*('DATA INPUT'!$A$3:$A$3000&lt;&gt;O37)*('DATA INPUT'!$A$3:$A$3000&lt;&gt;O38)*('DATA INPUT'!$A$3:$A$3000&lt;&gt;O39)*('DATA INPUT'!$C$3:$C$3000))/O6</f>
        <v>#N/A</v>
      </c>
      <c r="P10" s="158" t="e">
        <f>SUMPRODUCT((WEEKDAY('DATA INPUT'!$A$3:$A$3000)=1)*(YEAR('DATA INPUT'!$A$3:$A$3000)=P1)*(NOT(ISNUMBER(SEARCH("Harvest",'DATA INPUT'!$F$3:$F$3000))))*(NOT(ISNUMBER(SEARCH("Exclude",'DATA INPUT'!$F$3:$F$3000))))*('DATA INPUT'!$A$3:$A$3000&lt;&gt;P19)*('DATA INPUT'!$A$3:$A$3000&lt;&gt;P37)*('DATA INPUT'!$A$3:$A$3000&lt;&gt;P38)*('DATA INPUT'!$A$3:$A$3000&lt;&gt;P39)*('DATA INPUT'!$C$3:$C$3000))/P6</f>
        <v>#N/A</v>
      </c>
      <c r="Q10" s="158" t="e">
        <f>SUMPRODUCT((WEEKDAY('DATA INPUT'!$A$3:$A$3000)=1)*(YEAR('DATA INPUT'!$A$3:$A$3000)=Q1)*(NOT(ISNUMBER(SEARCH("Harvest",'DATA INPUT'!$F$3:$F$3000))))*(NOT(ISNUMBER(SEARCH("Exclude",'DATA INPUT'!$F$3:$F$3000))))*('DATA INPUT'!$A$3:$A$3000&lt;&gt;Q19)*('DATA INPUT'!$A$3:$A$3000&lt;&gt;Q37)*('DATA INPUT'!$A$3:$A$3000&lt;&gt;Q38)*('DATA INPUT'!$A$3:$A$3000&lt;&gt;Q39)*('DATA INPUT'!$C$3:$C$3000))/Q6</f>
        <v>#N/A</v>
      </c>
      <c r="R10" s="158" t="e">
        <f>SUMPRODUCT((WEEKDAY('DATA INPUT'!$A$3:$A$3000)=1)*(YEAR('DATA INPUT'!$A$3:$A$3000)=R1)*(NOT(ISNUMBER(SEARCH("Harvest",'DATA INPUT'!$F$3:$F$3000))))*(NOT(ISNUMBER(SEARCH("Exclude",'DATA INPUT'!$F$3:$F$3000))))*('DATA INPUT'!$A$3:$A$3000&lt;&gt;R19)*('DATA INPUT'!$A$3:$A$3000&lt;&gt;R37)*('DATA INPUT'!$A$3:$A$3000&lt;&gt;R38)*('DATA INPUT'!$A$3:$A$3000&lt;&gt;R39)*('DATA INPUT'!$C$3:$C$3000))/R6</f>
        <v>#N/A</v>
      </c>
      <c r="S10" s="158" t="e">
        <f>SUMPRODUCT((WEEKDAY('DATA INPUT'!$A$3:$A$3000)=1)*(YEAR('DATA INPUT'!$A$3:$A$3000)=S1)*(NOT(ISNUMBER(SEARCH("Harvest",'DATA INPUT'!$F$3:$F$3000))))*(NOT(ISNUMBER(SEARCH("Exclude",'DATA INPUT'!$F$3:$F$3000))))*('DATA INPUT'!$A$3:$A$3000&lt;&gt;S19)*('DATA INPUT'!$A$3:$A$3000&lt;&gt;S37)*('DATA INPUT'!$A$3:$A$3000&lt;&gt;S38)*('DATA INPUT'!$A$3:$A$3000&lt;&gt;S39)*('DATA INPUT'!$C$3:$C$3000))/S6</f>
        <v>#N/A</v>
      </c>
      <c r="T10" s="158" t="e">
        <f>SUMPRODUCT((WEEKDAY('DATA INPUT'!$A$3:$A$3000)=1)*(YEAR('DATA INPUT'!$A$3:$A$3000)=T1)*(NOT(ISNUMBER(SEARCH("Harvest",'DATA INPUT'!$F$3:$F$3000))))*(NOT(ISNUMBER(SEARCH("Exclude",'DATA INPUT'!$F$3:$F$3000))))*('DATA INPUT'!$A$3:$A$3000&lt;&gt;T19)*('DATA INPUT'!$A$3:$A$3000&lt;&gt;T37)*('DATA INPUT'!$A$3:$A$3000&lt;&gt;T38)*('DATA INPUT'!$A$3:$A$3000&lt;&gt;T39)*('DATA INPUT'!$C$3:$C$3000))/T6</f>
        <v>#N/A</v>
      </c>
      <c r="U10" s="158" t="e">
        <f>SUMPRODUCT((WEEKDAY('DATA INPUT'!$A$3:$A$3000)=1)*(YEAR('DATA INPUT'!$A$3:$A$3000)=U1)*(NOT(ISNUMBER(SEARCH("Harvest",'DATA INPUT'!$F$3:$F$3000))))*(NOT(ISNUMBER(SEARCH("Exclude",'DATA INPUT'!$F$3:$F$3000))))*('DATA INPUT'!$A$3:$A$3000&lt;&gt;U19)*('DATA INPUT'!$A$3:$A$3000&lt;&gt;U37)*('DATA INPUT'!$A$3:$A$3000&lt;&gt;U38)*('DATA INPUT'!$A$3:$A$3000&lt;&gt;U39)*('DATA INPUT'!$C$3:$C$3000))/U6</f>
        <v>#N/A</v>
      </c>
      <c r="V10" s="158" t="e">
        <f>SUMPRODUCT((WEEKDAY('DATA INPUT'!$A$3:$A$3000)=1)*(YEAR('DATA INPUT'!$A$3:$A$3000)=V1)*(NOT(ISNUMBER(SEARCH("Harvest",'DATA INPUT'!$F$3:$F$3000))))*(NOT(ISNUMBER(SEARCH("Exclude",'DATA INPUT'!$F$3:$F$3000))))*('DATA INPUT'!$A$3:$A$3000&lt;&gt;V19)*('DATA INPUT'!$A$3:$A$3000&lt;&gt;V37)*('DATA INPUT'!$A$3:$A$3000&lt;&gt;V38)*('DATA INPUT'!$A$3:$A$3000&lt;&gt;V39)*('DATA INPUT'!$C$3:$C$3000))/V6</f>
        <v>#N/A</v>
      </c>
    </row>
    <row r="11" spans="2:22" x14ac:dyDescent="0.3">
      <c r="B11" s="12"/>
      <c r="C11" s="125"/>
      <c r="D11" s="125"/>
      <c r="E11" s="125"/>
      <c r="F11" s="125"/>
      <c r="G11" s="125"/>
      <c r="H11" s="96"/>
      <c r="L11" s="159" t="s">
        <v>106</v>
      </c>
      <c r="M11" s="160" t="e">
        <f>HLOOKUP($C$4,$N$7:$V$11,5,FALSE)</f>
        <v>#N/A</v>
      </c>
      <c r="N11" s="158" t="e">
        <f>SUMPRODUCT((WEEKDAY('DATA INPUT'!$A$3:$A$3000)=1)*(YEAR('DATA INPUT'!$A$3:$A$3000)=N1)*(NOT(ISNUMBER(SEARCH("Harvest",'DATA INPUT'!$F$3:$F$3000))))*(NOT(ISNUMBER(SEARCH("Exclude",'DATA INPUT'!$F$3:$F$3000))))*('DATA INPUT'!$A$3:$A$3000&lt;&gt;N19)*('DATA INPUT'!$A$3:$A$3000&lt;&gt;N37)*('DATA INPUT'!$A$3:$A$3000&lt;&gt;N38)*('DATA INPUT'!$A$3:$A$3000&lt;&gt;N39)*('DATA INPUT'!$D$3:$D$3000))/N6</f>
        <v>#N/A</v>
      </c>
      <c r="O11" s="158" t="e">
        <f>SUMPRODUCT((WEEKDAY('DATA INPUT'!$A$3:$A$3000)=1)*(YEAR('DATA INPUT'!$A$3:$A$3000)=O1)*(NOT(ISNUMBER(SEARCH("Harvest",'DATA INPUT'!$F$3:$F$3000))))*(NOT(ISNUMBER(SEARCH("Exclude",'DATA INPUT'!$F$3:$F$3000))))*('DATA INPUT'!$A$3:$A$3000&lt;&gt;O19)*('DATA INPUT'!$A$3:$A$3000&lt;&gt;O37)*('DATA INPUT'!$A$3:$A$3000&lt;&gt;O38)*('DATA INPUT'!$A$3:$A$3000&lt;&gt;O39)*('DATA INPUT'!$D$3:$D$3000))/O6</f>
        <v>#N/A</v>
      </c>
      <c r="P11" s="158" t="e">
        <f>SUMPRODUCT((WEEKDAY('DATA INPUT'!$A$3:$A$3000)=1)*(YEAR('DATA INPUT'!$A$3:$A$3000)=P1)*(NOT(ISNUMBER(SEARCH("Harvest",'DATA INPUT'!$F$3:$F$3000))))*(NOT(ISNUMBER(SEARCH("Exclude",'DATA INPUT'!$F$3:$F$3000))))*('DATA INPUT'!$A$3:$A$3000&lt;&gt;P19)*('DATA INPUT'!$A$3:$A$3000&lt;&gt;P37)*('DATA INPUT'!$A$3:$A$3000&lt;&gt;P38)*('DATA INPUT'!$A$3:$A$3000&lt;&gt;P39)*('DATA INPUT'!$D$3:$D$3000))/P6</f>
        <v>#N/A</v>
      </c>
      <c r="Q11" s="158" t="e">
        <f>SUMPRODUCT((WEEKDAY('DATA INPUT'!$A$3:$A$3000)=1)*(YEAR('DATA INPUT'!$A$3:$A$3000)=Q1)*(NOT(ISNUMBER(SEARCH("Harvest",'DATA INPUT'!$F$3:$F$3000))))*(NOT(ISNUMBER(SEARCH("Exclude",'DATA INPUT'!$F$3:$F$3000))))*('DATA INPUT'!$A$3:$A$3000&lt;&gt;Q19)*('DATA INPUT'!$A$3:$A$3000&lt;&gt;Q37)*('DATA INPUT'!$A$3:$A$3000&lt;&gt;Q38)*('DATA INPUT'!$A$3:$A$3000&lt;&gt;Q39)*('DATA INPUT'!$D$3:$D$3000))/Q6</f>
        <v>#N/A</v>
      </c>
      <c r="R11" s="158" t="e">
        <f>SUMPRODUCT((WEEKDAY('DATA INPUT'!$A$3:$A$3000)=1)*(YEAR('DATA INPUT'!$A$3:$A$3000)=R1)*(NOT(ISNUMBER(SEARCH("Harvest",'DATA INPUT'!$F$3:$F$3000))))*(NOT(ISNUMBER(SEARCH("Exclude",'DATA INPUT'!$F$3:$F$3000))))*('DATA INPUT'!$A$3:$A$3000&lt;&gt;R19)*('DATA INPUT'!$A$3:$A$3000&lt;&gt;R37)*('DATA INPUT'!$A$3:$A$3000&lt;&gt;R38)*('DATA INPUT'!$A$3:$A$3000&lt;&gt;R39)*('DATA INPUT'!$D$3:$D$3000))/R6</f>
        <v>#N/A</v>
      </c>
      <c r="S11" s="158" t="e">
        <f>SUMPRODUCT((WEEKDAY('DATA INPUT'!$A$3:$A$3000)=1)*(YEAR('DATA INPUT'!$A$3:$A$3000)=S1)*(NOT(ISNUMBER(SEARCH("Harvest",'DATA INPUT'!$F$3:$F$3000))))*(NOT(ISNUMBER(SEARCH("Exclude",'DATA INPUT'!$F$3:$F$3000))))*('DATA INPUT'!$A$3:$A$3000&lt;&gt;S19)*('DATA INPUT'!$A$3:$A$3000&lt;&gt;S37)*('DATA INPUT'!$A$3:$A$3000&lt;&gt;S38)*('DATA INPUT'!$A$3:$A$3000&lt;&gt;S39)*('DATA INPUT'!$D$3:$D$3000))/S6</f>
        <v>#N/A</v>
      </c>
      <c r="T11" s="158" t="e">
        <f>SUMPRODUCT((WEEKDAY('DATA INPUT'!$A$3:$A$3000)=1)*(YEAR('DATA INPUT'!$A$3:$A$3000)=T1)*(NOT(ISNUMBER(SEARCH("Harvest",'DATA INPUT'!$F$3:$F$3000))))*(NOT(ISNUMBER(SEARCH("Exclude",'DATA INPUT'!$F$3:$F$3000))))*('DATA INPUT'!$A$3:$A$3000&lt;&gt;T19)*('DATA INPUT'!$A$3:$A$3000&lt;&gt;T37)*('DATA INPUT'!$A$3:$A$3000&lt;&gt;T38)*('DATA INPUT'!$A$3:$A$3000&lt;&gt;T39)*('DATA INPUT'!$D$3:$D$3000))/T6</f>
        <v>#N/A</v>
      </c>
      <c r="U11" s="158" t="e">
        <f>SUMPRODUCT((WEEKDAY('DATA INPUT'!$A$3:$A$3000)=1)*(YEAR('DATA INPUT'!$A$3:$A$3000)=U1)*(NOT(ISNUMBER(SEARCH("Harvest",'DATA INPUT'!$F$3:$F$3000))))*(NOT(ISNUMBER(SEARCH("Exclude",'DATA INPUT'!$F$3:$F$3000))))*('DATA INPUT'!$A$3:$A$3000&lt;&gt;U19)*('DATA INPUT'!$A$3:$A$3000&lt;&gt;U37)*('DATA INPUT'!$A$3:$A$3000&lt;&gt;U38)*('DATA INPUT'!$A$3:$A$3000&lt;&gt;U39)*('DATA INPUT'!$D$3:$D$3000))/U6</f>
        <v>#N/A</v>
      </c>
      <c r="V11" s="158" t="e">
        <f>SUMPRODUCT((WEEKDAY('DATA INPUT'!$A$3:$A$3000)=1)*(YEAR('DATA INPUT'!$A$3:$A$3000)=V1)*(NOT(ISNUMBER(SEARCH("Harvest",'DATA INPUT'!$F$3:$F$3000))))*(NOT(ISNUMBER(SEARCH("Exclude",'DATA INPUT'!$F$3:$F$3000))))*('DATA INPUT'!$A$3:$A$3000&lt;&gt;V19)*('DATA INPUT'!$A$3:$A$3000&lt;&gt;V37)*('DATA INPUT'!$A$3:$A$3000&lt;&gt;V38)*('DATA INPUT'!$A$3:$A$3000&lt;&gt;V39)*('DATA INPUT'!$D$3:$D$3000))/V6</f>
        <v>#N/A</v>
      </c>
    </row>
    <row r="12" spans="2:22" ht="14.4" customHeight="1" x14ac:dyDescent="0.3">
      <c r="B12" s="12" t="s">
        <v>131</v>
      </c>
      <c r="H12" s="96"/>
      <c r="L12" s="159"/>
      <c r="M12" s="160"/>
      <c r="N12" s="158"/>
      <c r="O12" s="158"/>
      <c r="P12" s="158"/>
      <c r="Q12" s="158"/>
      <c r="R12" s="158"/>
      <c r="S12" s="158"/>
      <c r="T12" s="158"/>
      <c r="U12" s="158"/>
      <c r="V12" s="158"/>
    </row>
    <row r="13" spans="2:22" ht="15" thickBot="1" x14ac:dyDescent="0.35">
      <c r="B13" s="12"/>
      <c r="C13" s="196" t="s">
        <v>27</v>
      </c>
      <c r="D13" s="196"/>
      <c r="E13" s="196"/>
      <c r="F13" s="196"/>
      <c r="G13" s="196"/>
      <c r="H13" s="96"/>
      <c r="M13" s="153" t="s">
        <v>101</v>
      </c>
      <c r="N13" s="149">
        <f t="shared" ref="N13:V13" si="2">N1</f>
        <v>2017</v>
      </c>
      <c r="O13" s="149">
        <f t="shared" si="2"/>
        <v>2018</v>
      </c>
      <c r="P13" s="149">
        <f t="shared" si="2"/>
        <v>2019</v>
      </c>
      <c r="Q13" s="149">
        <f t="shared" si="2"/>
        <v>2020</v>
      </c>
      <c r="R13" s="149">
        <f t="shared" si="2"/>
        <v>2021</v>
      </c>
      <c r="S13" s="149">
        <f t="shared" si="2"/>
        <v>2022</v>
      </c>
      <c r="T13" s="149">
        <f t="shared" si="2"/>
        <v>2023</v>
      </c>
      <c r="U13" s="149">
        <f t="shared" si="2"/>
        <v>2024</v>
      </c>
      <c r="V13" s="149">
        <f t="shared" si="2"/>
        <v>2025</v>
      </c>
    </row>
    <row r="14" spans="2:22" ht="14.4" customHeight="1" thickBot="1" x14ac:dyDescent="0.35">
      <c r="B14" s="12"/>
      <c r="C14" s="196"/>
      <c r="D14" s="196"/>
      <c r="E14" s="196"/>
      <c r="F14" s="196"/>
      <c r="G14" s="196"/>
      <c r="H14" s="96" t="s">
        <v>49</v>
      </c>
      <c r="I14" s="126"/>
      <c r="L14" s="159" t="s">
        <v>73</v>
      </c>
      <c r="M14" s="161">
        <f>HLOOKUP($C$4,N13:V15,2,FALSE)</f>
        <v>42841</v>
      </c>
      <c r="N14" s="162">
        <v>42841</v>
      </c>
      <c r="O14" s="162">
        <v>43191</v>
      </c>
      <c r="P14" s="162">
        <v>43576</v>
      </c>
      <c r="Q14" s="162">
        <v>43933</v>
      </c>
      <c r="R14" s="162">
        <v>44290</v>
      </c>
      <c r="S14" s="162">
        <v>44668</v>
      </c>
      <c r="T14" s="155">
        <v>45025</v>
      </c>
      <c r="U14" s="155">
        <v>45382</v>
      </c>
      <c r="V14" s="155">
        <v>45767</v>
      </c>
    </row>
    <row r="15" spans="2:22" ht="14.4" customHeight="1" thickBot="1" x14ac:dyDescent="0.35">
      <c r="B15" s="12"/>
      <c r="C15" s="196" t="s">
        <v>28</v>
      </c>
      <c r="D15" s="196"/>
      <c r="E15" s="196"/>
      <c r="F15" s="196"/>
      <c r="G15" s="196"/>
      <c r="H15" s="96"/>
      <c r="L15" s="159" t="s">
        <v>74</v>
      </c>
      <c r="M15" s="161">
        <f>HLOOKUP($C$4,N13:V15,3,FALSE)</f>
        <v>42840</v>
      </c>
      <c r="N15" s="162">
        <f>N14-1</f>
        <v>42840</v>
      </c>
      <c r="O15" s="162">
        <f t="shared" ref="O15:S15" si="3">O14-1</f>
        <v>43190</v>
      </c>
      <c r="P15" s="162">
        <f t="shared" si="3"/>
        <v>43575</v>
      </c>
      <c r="Q15" s="162">
        <f t="shared" si="3"/>
        <v>43932</v>
      </c>
      <c r="R15" s="162">
        <f t="shared" si="3"/>
        <v>44289</v>
      </c>
      <c r="S15" s="162">
        <f t="shared" si="3"/>
        <v>44667</v>
      </c>
      <c r="T15" s="155">
        <v>45024</v>
      </c>
      <c r="U15" s="155">
        <v>45381</v>
      </c>
      <c r="V15" s="155">
        <v>45766</v>
      </c>
    </row>
    <row r="16" spans="2:22" ht="15" thickBot="1" x14ac:dyDescent="0.35">
      <c r="B16" s="12"/>
      <c r="C16" s="196"/>
      <c r="D16" s="196"/>
      <c r="E16" s="196"/>
      <c r="F16" s="196"/>
      <c r="G16" s="196"/>
      <c r="H16" s="96" t="s">
        <v>50</v>
      </c>
      <c r="I16" s="127">
        <f>SUMIFS('DATA INPUT'!E3:E3000,'DATA INPUT'!A3:A3000,M14,'DATA INPUT'!$G$3:$G$3000,"&lt;&gt;School Service")+SUMIFS('DATA INPUT'!E3:E3000,'DATA INPUT'!A3:A3000,M15,'DATA INPUT'!$G$3:$G$3000,"&lt;&gt;School Service")</f>
        <v>0</v>
      </c>
    </row>
    <row r="17" spans="2:24" x14ac:dyDescent="0.3">
      <c r="B17" s="12"/>
      <c r="C17" s="196"/>
      <c r="D17" s="196"/>
      <c r="E17" s="196"/>
      <c r="F17" s="196"/>
      <c r="G17" s="196"/>
      <c r="M17" s="149" t="str">
        <f>M13</f>
        <v>SelectedYr</v>
      </c>
      <c r="N17" s="149">
        <f t="shared" ref="N17:V17" si="4">N1</f>
        <v>2017</v>
      </c>
      <c r="O17" s="149">
        <f t="shared" si="4"/>
        <v>2018</v>
      </c>
      <c r="P17" s="149">
        <f t="shared" si="4"/>
        <v>2019</v>
      </c>
      <c r="Q17" s="149">
        <f t="shared" si="4"/>
        <v>2020</v>
      </c>
      <c r="R17" s="149">
        <f t="shared" si="4"/>
        <v>2021</v>
      </c>
      <c r="S17" s="149">
        <f t="shared" si="4"/>
        <v>2022</v>
      </c>
      <c r="T17" s="149">
        <f t="shared" si="4"/>
        <v>2023</v>
      </c>
      <c r="U17" s="149">
        <f t="shared" si="4"/>
        <v>2024</v>
      </c>
      <c r="V17" s="149">
        <f t="shared" si="4"/>
        <v>2025</v>
      </c>
    </row>
    <row r="18" spans="2:24" ht="14.4" customHeight="1" x14ac:dyDescent="0.3">
      <c r="B18" s="12"/>
      <c r="C18" s="128"/>
      <c r="D18" s="128"/>
      <c r="E18" s="128"/>
      <c r="F18" s="128"/>
      <c r="L18" s="159" t="s">
        <v>97</v>
      </c>
      <c r="M18" s="161">
        <f>HLOOKUP($C$4,N17:V19,2,FALSE)</f>
        <v>43093</v>
      </c>
      <c r="N18" s="162">
        <v>43093</v>
      </c>
      <c r="O18" s="162">
        <v>43458</v>
      </c>
      <c r="P18" s="162">
        <v>43823</v>
      </c>
      <c r="Q18" s="162">
        <v>44189</v>
      </c>
      <c r="R18" s="162">
        <v>44554</v>
      </c>
      <c r="S18" s="162">
        <v>44919</v>
      </c>
      <c r="T18" s="155">
        <v>45284</v>
      </c>
      <c r="U18" s="155">
        <v>45650</v>
      </c>
      <c r="V18" s="155">
        <v>46015</v>
      </c>
    </row>
    <row r="19" spans="2:24" x14ac:dyDescent="0.3">
      <c r="B19" s="206" t="s">
        <v>132</v>
      </c>
      <c r="C19" s="206"/>
      <c r="D19" s="206"/>
      <c r="E19" s="206"/>
      <c r="F19" s="206"/>
      <c r="G19" s="206"/>
      <c r="H19" s="206"/>
      <c r="I19" s="206"/>
      <c r="J19" s="206"/>
      <c r="L19" s="159" t="s">
        <v>98</v>
      </c>
      <c r="M19" s="161">
        <f>HLOOKUP($C$4,N17:V19,3,FALSE)</f>
        <v>43094</v>
      </c>
      <c r="N19" s="162">
        <v>43094</v>
      </c>
      <c r="O19" s="162">
        <v>43459</v>
      </c>
      <c r="P19" s="162">
        <v>43824</v>
      </c>
      <c r="Q19" s="162">
        <v>44190</v>
      </c>
      <c r="R19" s="162">
        <v>44555</v>
      </c>
      <c r="S19" s="162">
        <v>44920</v>
      </c>
      <c r="T19" s="155">
        <v>45285</v>
      </c>
      <c r="U19" s="155">
        <v>45651</v>
      </c>
      <c r="V19" s="155">
        <v>46016</v>
      </c>
    </row>
    <row r="20" spans="2:24" x14ac:dyDescent="0.3">
      <c r="B20" s="206"/>
      <c r="C20" s="206"/>
      <c r="D20" s="206"/>
      <c r="E20" s="206"/>
      <c r="F20" s="206"/>
      <c r="G20" s="206"/>
      <c r="H20" s="206"/>
      <c r="I20" s="206"/>
      <c r="J20" s="206"/>
      <c r="L20" s="159" t="s">
        <v>99</v>
      </c>
      <c r="M20" s="161">
        <f>HLOOKUP($C$4,N17:V20,4,FALSE)</f>
        <v>43072</v>
      </c>
      <c r="N20" s="162">
        <v>43072</v>
      </c>
      <c r="O20" s="162">
        <v>43436</v>
      </c>
      <c r="P20" s="162">
        <v>43800</v>
      </c>
      <c r="Q20" s="162">
        <v>44164</v>
      </c>
      <c r="R20" s="162">
        <v>44528</v>
      </c>
      <c r="S20" s="162">
        <v>44892</v>
      </c>
      <c r="T20" s="155">
        <v>45263</v>
      </c>
      <c r="U20" s="155">
        <v>45627</v>
      </c>
      <c r="V20" s="155">
        <v>45991</v>
      </c>
    </row>
    <row r="21" spans="2:24" x14ac:dyDescent="0.3">
      <c r="B21" s="206"/>
      <c r="C21" s="206"/>
      <c r="D21" s="206"/>
      <c r="E21" s="206"/>
      <c r="F21" s="206"/>
      <c r="G21" s="206"/>
      <c r="H21" s="206"/>
      <c r="I21" s="206"/>
      <c r="J21" s="206"/>
      <c r="L21" s="159" t="s">
        <v>100</v>
      </c>
      <c r="M21" s="161">
        <f>HLOOKUP($C$4,N17:V21,5,FALSE)</f>
        <v>43092</v>
      </c>
      <c r="N21" s="162">
        <v>43092</v>
      </c>
      <c r="O21" s="162">
        <v>43457</v>
      </c>
      <c r="P21" s="162">
        <v>43822</v>
      </c>
      <c r="Q21" s="162">
        <v>44188</v>
      </c>
      <c r="R21" s="162">
        <v>44553</v>
      </c>
      <c r="S21" s="162">
        <v>44918</v>
      </c>
      <c r="T21" s="155">
        <v>45283</v>
      </c>
      <c r="U21" s="155">
        <v>45649</v>
      </c>
      <c r="V21" s="155">
        <v>46014</v>
      </c>
    </row>
    <row r="22" spans="2:24" ht="15" thickBot="1" x14ac:dyDescent="0.35">
      <c r="B22" s="12"/>
      <c r="C22" s="195" t="s">
        <v>30</v>
      </c>
      <c r="D22" s="195"/>
      <c r="E22" s="195"/>
      <c r="F22" s="195"/>
      <c r="G22" s="195"/>
      <c r="M22" s="161"/>
      <c r="N22" s="162"/>
      <c r="O22" s="162"/>
      <c r="P22" s="162"/>
      <c r="Q22" s="162"/>
      <c r="R22" s="162"/>
      <c r="S22" s="162"/>
      <c r="T22" s="155"/>
      <c r="U22" s="155"/>
      <c r="V22" s="155"/>
    </row>
    <row r="23" spans="2:24" ht="15" thickBot="1" x14ac:dyDescent="0.35">
      <c r="B23" s="12"/>
      <c r="C23" s="195"/>
      <c r="D23" s="195"/>
      <c r="E23" s="195"/>
      <c r="F23" s="195"/>
      <c r="G23" s="195"/>
      <c r="H23" s="96" t="s">
        <v>43</v>
      </c>
      <c r="I23" s="127">
        <f>IF($G$4="Yes",SUMIFS('DATA INPUT'!$E$3:$E$3000,'DATA INPUT'!$A$3:$A$3000,"&gt;="&amp;M20,'DATA INPUT'!$A$3:$A$3000,"&lt;="&amp;M21,'DATA INPUT'!$G$3:$G$3000,"&lt;&gt;School Service",'DATA INPUT'!$F$3:$F$3000,"&lt;&gt;*Civic*"),SUMIFS('DATA INPUT'!$E$3:$E$3000,'DATA INPUT'!$A$3:$A$3000,"&gt;="&amp;M20,'DATA INPUT'!$A$3:$A$3000,"&lt;="&amp;M21,'DATA INPUT'!$G$3:$G$3000,"&lt;&gt;School Service",'DATA INPUT'!$F$3:$F$3000,"&lt;&gt;*Exclude*",'DATA INPUT'!$F$3:$F$3000,"&lt;&gt;*Civic*"))</f>
        <v>0</v>
      </c>
      <c r="K23" s="217"/>
      <c r="L23" s="194" t="s">
        <v>101</v>
      </c>
      <c r="M23" s="194"/>
    </row>
    <row r="24" spans="2:24" ht="15" thickBot="1" x14ac:dyDescent="0.35">
      <c r="B24" s="12"/>
      <c r="C24" s="195" t="s">
        <v>29</v>
      </c>
      <c r="D24" s="195"/>
      <c r="E24" s="195"/>
      <c r="F24" s="195"/>
      <c r="G24" s="195"/>
      <c r="H24" s="96"/>
      <c r="L24" s="159" t="s">
        <v>95</v>
      </c>
      <c r="M24" s="149" t="s">
        <v>96</v>
      </c>
      <c r="N24" s="153">
        <f t="shared" ref="N24:V24" si="5">N1</f>
        <v>2017</v>
      </c>
      <c r="O24" s="153">
        <f t="shared" si="5"/>
        <v>2018</v>
      </c>
      <c r="P24" s="153">
        <f t="shared" si="5"/>
        <v>2019</v>
      </c>
      <c r="Q24" s="153">
        <f t="shared" si="5"/>
        <v>2020</v>
      </c>
      <c r="R24" s="153">
        <f t="shared" si="5"/>
        <v>2021</v>
      </c>
      <c r="S24" s="153">
        <f t="shared" si="5"/>
        <v>2022</v>
      </c>
      <c r="T24" s="153">
        <f t="shared" si="5"/>
        <v>2023</v>
      </c>
      <c r="U24" s="153">
        <f t="shared" si="5"/>
        <v>2024</v>
      </c>
      <c r="V24" s="153">
        <f t="shared" si="5"/>
        <v>2025</v>
      </c>
    </row>
    <row r="25" spans="2:24" ht="15" thickBot="1" x14ac:dyDescent="0.35">
      <c r="B25" s="12"/>
      <c r="C25" s="195"/>
      <c r="D25" s="195"/>
      <c r="E25" s="195"/>
      <c r="F25" s="195"/>
      <c r="G25" s="195"/>
      <c r="H25" s="96" t="s">
        <v>44</v>
      </c>
      <c r="I25" s="129">
        <f>IF($G$4="Yes",((SUMIFS('DATA INPUT'!$E$3:$E$3000,'DATA INPUT'!$A$3:$A$3000,"&gt;="&amp;M20,'DATA INPUT'!$A$3:$A$3000,"&lt;="&amp;M21,'DATA INPUT'!$G$3:$G$3000,"School Service"))+(SUMIFS('DATA INPUT'!$E$3:$E$3000,'DATA INPUT'!$A$3:$A$3000,"&gt;="&amp;M20,'DATA INPUT'!$A$3:$A$3000,"&lt;="&amp;M21,'DATA INPUT'!$G$3:$G$3000,"*Civic*"))),((SUMIFS('DATA INPUT'!$E$3:$E$3000,'DATA INPUT'!$A$3:$A$3000,"&gt;="&amp;M20,'DATA INPUT'!$A$3:$A$3000,"&lt;="&amp;M21,'DATA INPUT'!$G$3:$G$3000,"School Service",'DATA INPUT'!$F$3:$F$3000,"&lt;&gt;*Exclude*"))+(SUMIFS('DATA INPUT'!$E$3:$E$3000,'DATA INPUT'!$A$3:$A$3000,"&gt;="&amp;M20,'DATA INPUT'!$A$3:$A$3000,"&lt;="&amp;M21,'DATA INPUT'!$G$3:$G$3000,"*Civic*",'DATA INPUT'!$F$3:$F$3000,"&lt;&gt;*Exclude*"))))</f>
        <v>0</v>
      </c>
      <c r="L25" s="164">
        <f>B37+1</f>
        <v>43010</v>
      </c>
      <c r="M25" s="161">
        <f>L25+5</f>
        <v>43015</v>
      </c>
      <c r="N25" s="162">
        <f>DATE(N$24,10,(1*7)+1)-WEEKDAY(DATE(N$24,10,8-1))</f>
        <v>43009</v>
      </c>
      <c r="O25" s="162">
        <f t="shared" ref="N25:S25" si="6">DATE(O$24,10,(1*7)+1)-WEEKDAY(DATE(O$24,10,8-1))</f>
        <v>43380</v>
      </c>
      <c r="P25" s="162">
        <f t="shared" si="6"/>
        <v>43744</v>
      </c>
      <c r="Q25" s="162">
        <f t="shared" si="6"/>
        <v>44108</v>
      </c>
      <c r="R25" s="162">
        <f t="shared" si="6"/>
        <v>44472</v>
      </c>
      <c r="S25" s="162">
        <f t="shared" si="6"/>
        <v>44836</v>
      </c>
      <c r="T25" s="162">
        <f t="shared" ref="T25:V25" si="7">DATE(T$24,10,(1*7)+1)-WEEKDAY(DATE(T$24,10,8-1))</f>
        <v>45200</v>
      </c>
      <c r="U25" s="162">
        <f t="shared" si="7"/>
        <v>45571</v>
      </c>
      <c r="V25" s="162">
        <f t="shared" si="7"/>
        <v>45935</v>
      </c>
    </row>
    <row r="26" spans="2:24" x14ac:dyDescent="0.3">
      <c r="B26" s="12"/>
      <c r="C26" s="128"/>
      <c r="D26" s="128"/>
      <c r="E26" s="128"/>
      <c r="F26" s="128"/>
      <c r="G26" s="128"/>
      <c r="H26" s="96"/>
      <c r="I26" s="130"/>
      <c r="L26" s="164">
        <f>B42+1</f>
        <v>43017</v>
      </c>
      <c r="M26" s="161">
        <f>L26+5</f>
        <v>43022</v>
      </c>
      <c r="N26" s="162">
        <f t="shared" ref="N26:S26" si="8">DATE(N$24,10,(2*7)+1)-WEEKDAY(DATE(N$24,10,8-1))</f>
        <v>43016</v>
      </c>
      <c r="O26" s="162">
        <f t="shared" si="8"/>
        <v>43387</v>
      </c>
      <c r="P26" s="162">
        <f t="shared" si="8"/>
        <v>43751</v>
      </c>
      <c r="Q26" s="162">
        <f t="shared" si="8"/>
        <v>44115</v>
      </c>
      <c r="R26" s="162">
        <f t="shared" si="8"/>
        <v>44479</v>
      </c>
      <c r="S26" s="162">
        <f t="shared" si="8"/>
        <v>44843</v>
      </c>
      <c r="T26" s="162">
        <f t="shared" ref="T26:V26" si="9">DATE(T$24,10,(2*7)+1)-WEEKDAY(DATE(T$24,10,8-1))</f>
        <v>45207</v>
      </c>
      <c r="U26" s="162">
        <f t="shared" si="9"/>
        <v>45578</v>
      </c>
      <c r="V26" s="162">
        <f t="shared" si="9"/>
        <v>45942</v>
      </c>
    </row>
    <row r="27" spans="2:24" x14ac:dyDescent="0.3">
      <c r="B27" s="12" t="s">
        <v>133</v>
      </c>
      <c r="H27" s="96"/>
      <c r="L27" s="164">
        <f>B47+1</f>
        <v>43024</v>
      </c>
      <c r="M27" s="161">
        <f>L27+5</f>
        <v>43029</v>
      </c>
      <c r="N27" s="162">
        <f t="shared" ref="N27:S27" si="10">DATE(N$24,10,(3*7)+1)-WEEKDAY(DATE(N$24,10,8-1))</f>
        <v>43023</v>
      </c>
      <c r="O27" s="162">
        <f t="shared" si="10"/>
        <v>43394</v>
      </c>
      <c r="P27" s="162">
        <f t="shared" si="10"/>
        <v>43758</v>
      </c>
      <c r="Q27" s="162">
        <f t="shared" si="10"/>
        <v>44122</v>
      </c>
      <c r="R27" s="162">
        <f t="shared" si="10"/>
        <v>44486</v>
      </c>
      <c r="S27" s="162">
        <f t="shared" si="10"/>
        <v>44850</v>
      </c>
      <c r="T27" s="162">
        <f t="shared" ref="T27:V27" si="11">DATE(T$24,10,(3*7)+1)-WEEKDAY(DATE(T$24,10,8-1))</f>
        <v>45214</v>
      </c>
      <c r="U27" s="162">
        <f t="shared" si="11"/>
        <v>45585</v>
      </c>
      <c r="V27" s="162">
        <f t="shared" si="11"/>
        <v>45949</v>
      </c>
    </row>
    <row r="28" spans="2:24" ht="15" thickBot="1" x14ac:dyDescent="0.35">
      <c r="B28" s="12"/>
      <c r="C28" s="195" t="s">
        <v>31</v>
      </c>
      <c r="D28" s="195"/>
      <c r="E28" s="195"/>
      <c r="F28" s="195"/>
      <c r="G28" s="195"/>
      <c r="H28" s="96"/>
      <c r="L28" s="164">
        <f>B52+1</f>
        <v>43031</v>
      </c>
      <c r="M28" s="161">
        <f>L28+5</f>
        <v>43036</v>
      </c>
      <c r="N28" s="162">
        <f t="shared" ref="N28:V28" si="12">DATE(N$24,10,(4*7)+1)-WEEKDAY(DATE(N$24,10,8-1))</f>
        <v>43030</v>
      </c>
      <c r="O28" s="162">
        <f t="shared" si="12"/>
        <v>43401</v>
      </c>
      <c r="P28" s="162">
        <f t="shared" si="12"/>
        <v>43765</v>
      </c>
      <c r="Q28" s="162">
        <f t="shared" si="12"/>
        <v>44129</v>
      </c>
      <c r="R28" s="162">
        <f t="shared" si="12"/>
        <v>44493</v>
      </c>
      <c r="S28" s="162">
        <f t="shared" si="12"/>
        <v>44857</v>
      </c>
      <c r="T28" s="162">
        <f t="shared" si="12"/>
        <v>45221</v>
      </c>
      <c r="U28" s="162">
        <f t="shared" si="12"/>
        <v>45592</v>
      </c>
      <c r="V28" s="162">
        <f t="shared" si="12"/>
        <v>45956</v>
      </c>
    </row>
    <row r="29" spans="2:24" ht="15" thickBot="1" x14ac:dyDescent="0.35">
      <c r="B29" s="12"/>
      <c r="C29" s="195"/>
      <c r="D29" s="195"/>
      <c r="E29" s="195"/>
      <c r="F29" s="195"/>
      <c r="G29" s="195"/>
      <c r="H29" s="96" t="s">
        <v>45</v>
      </c>
      <c r="I29" s="126"/>
      <c r="L29" s="159"/>
      <c r="M29" s="149"/>
    </row>
    <row r="30" spans="2:24" ht="15" thickBot="1" x14ac:dyDescent="0.35">
      <c r="B30" s="12"/>
      <c r="C30" s="195" t="s">
        <v>32</v>
      </c>
      <c r="D30" s="195"/>
      <c r="E30" s="195"/>
      <c r="F30" s="195"/>
      <c r="G30" s="195"/>
      <c r="H30" s="96"/>
      <c r="L30" s="194" t="s">
        <v>75</v>
      </c>
      <c r="M30" s="194"/>
      <c r="N30" s="153">
        <f t="shared" ref="N30:V30" si="13">N1</f>
        <v>2017</v>
      </c>
      <c r="O30" s="153">
        <f t="shared" si="13"/>
        <v>2018</v>
      </c>
      <c r="P30" s="153">
        <f t="shared" si="13"/>
        <v>2019</v>
      </c>
      <c r="Q30" s="153">
        <f t="shared" si="13"/>
        <v>2020</v>
      </c>
      <c r="R30" s="153">
        <f t="shared" si="13"/>
        <v>2021</v>
      </c>
      <c r="S30" s="153">
        <f t="shared" si="13"/>
        <v>2022</v>
      </c>
      <c r="T30" s="153">
        <f t="shared" si="13"/>
        <v>2023</v>
      </c>
      <c r="U30" s="153">
        <f t="shared" si="13"/>
        <v>2024</v>
      </c>
      <c r="V30" s="153">
        <f t="shared" si="13"/>
        <v>2025</v>
      </c>
      <c r="W30" s="116"/>
      <c r="X30" s="221"/>
    </row>
    <row r="31" spans="2:24" ht="15" thickBot="1" x14ac:dyDescent="0.35">
      <c r="B31" s="12"/>
      <c r="C31" s="195"/>
      <c r="D31" s="195"/>
      <c r="E31" s="195"/>
      <c r="F31" s="195"/>
      <c r="G31" s="195"/>
      <c r="H31" s="96" t="s">
        <v>46</v>
      </c>
      <c r="I31" s="127">
        <f>SUMIFS('DATA INPUT'!E3:E3000,'DATA INPUT'!A3:A3000,M18)+SUMIFS('DATA INPUT'!E3:E3000,'DATA INPUT'!A3:A3000,M19)</f>
        <v>0</v>
      </c>
      <c r="M31" s="165" t="s">
        <v>39</v>
      </c>
      <c r="N31" s="117" t="e">
        <f ca="1">IF((IF($G$4="Yes",SUMIFS('DATA INPUT'!$C$3:$C$3000,'DATA INPUT'!$A$3:$A$3000,"&gt;="&amp;N2,'DATA INPUT'!$A$3:$A$3000,"&lt;="&amp;N3,'DATA INPUT'!$G$3:$G$3000,"&lt;&gt;School Service"),SUMIFS('DATA INPUT'!$C$3:$C$3000,'DATA INPUT'!$A$3:$A$3000,"&gt;="&amp;N2,'DATA INPUT'!$A$3:$A$3000,"&lt;="&amp;N3,'DATA INPUT'!$G$3:$G$3000,"&lt;&gt;School Service",'DATA INPUT'!$F$3:$F$3000,"&lt;&gt;*Exclude*"))/N4)=0,#N/A,IF($G$4="Yes",SUMIFS('DATA INPUT'!$C$3:$C$3000,'DATA INPUT'!$A$3:$A$3000,"&gt;="&amp;N2,'DATA INPUT'!$A$3:$A$3000,"&lt;="&amp;N3,'DATA INPUT'!$G$3:$G$3000,"&lt;&gt;School Service"),SUMIFS('DATA INPUT'!$C$3:$C$3000,'DATA INPUT'!$A$3:$A$3000,"&gt;="&amp;N2,'DATA INPUT'!$A$3:$A$3000,"&lt;="&amp;N3,'DATA INPUT'!$G$3:$G$3000,"&lt;&gt;School Service",'DATA INPUT'!$F$3:$F$3000,"&lt;&gt;*Exclude*"))/N4)</f>
        <v>#N/A</v>
      </c>
      <c r="O31" s="117" t="e">
        <f ca="1">IF((IF($G$4="Yes",SUMIFS('DATA INPUT'!$C$3:$C$3000,'DATA INPUT'!$A$3:$A$3000,"&gt;="&amp;O2,'DATA INPUT'!$A$3:$A$3000,"&lt;="&amp;O3,'DATA INPUT'!$G$3:$G$3000,"&lt;&gt;School Service"),SUMIFS('DATA INPUT'!$C$3:$C$3000,'DATA INPUT'!$A$3:$A$3000,"&gt;="&amp;O2,'DATA INPUT'!$A$3:$A$3000,"&lt;="&amp;O3,'DATA INPUT'!$G$3:$G$3000,"&lt;&gt;School Service",'DATA INPUT'!$F$3:$F$3000,"&lt;&gt;*Exclude*"))/O4)=0,#N/A,IF($G$4="Yes",SUMIFS('DATA INPUT'!$C$3:$C$3000,'DATA INPUT'!$A$3:$A$3000,"&gt;="&amp;O2,'DATA INPUT'!$A$3:$A$3000,"&lt;="&amp;O3,'DATA INPUT'!$G$3:$G$3000,"&lt;&gt;School Service"),SUMIFS('DATA INPUT'!$C$3:$C$3000,'DATA INPUT'!$A$3:$A$3000,"&gt;="&amp;O2,'DATA INPUT'!$A$3:$A$3000,"&lt;="&amp;O3,'DATA INPUT'!$G$3:$G$3000,"&lt;&gt;School Service",'DATA INPUT'!$F$3:$F$3000,"&lt;&gt;*Exclude*"))/O4)</f>
        <v>#N/A</v>
      </c>
      <c r="P31" s="117" t="e">
        <f ca="1">IF((IF($G$4="Yes",SUMIFS('DATA INPUT'!$C$3:$C$3000,'DATA INPUT'!$A$3:$A$3000,"&gt;="&amp;P2,'DATA INPUT'!$A$3:$A$3000,"&lt;="&amp;P3,'DATA INPUT'!$G$3:$G$3000,"&lt;&gt;School Service"),SUMIFS('DATA INPUT'!$C$3:$C$3000,'DATA INPUT'!$A$3:$A$3000,"&gt;="&amp;P2,'DATA INPUT'!$A$3:$A$3000,"&lt;="&amp;P3,'DATA INPUT'!$G$3:$G$3000,"&lt;&gt;School Service",'DATA INPUT'!$F$3:$F$3000,"&lt;&gt;*Exclude*"))/P4)=0,#N/A,IF($G$4="Yes",SUMIFS('DATA INPUT'!$C$3:$C$3000,'DATA INPUT'!$A$3:$A$3000,"&gt;="&amp;P2,'DATA INPUT'!$A$3:$A$3000,"&lt;="&amp;P3,'DATA INPUT'!$G$3:$G$3000,"&lt;&gt;School Service"),SUMIFS('DATA INPUT'!$C$3:$C$3000,'DATA INPUT'!$A$3:$A$3000,"&gt;="&amp;P2,'DATA INPUT'!$A$3:$A$3000,"&lt;="&amp;P3,'DATA INPUT'!$G$3:$G$3000,"&lt;&gt;School Service",'DATA INPUT'!$F$3:$F$3000,"&lt;&gt;*Exclude*"))/P4)</f>
        <v>#N/A</v>
      </c>
      <c r="Q31" s="117" t="e">
        <f ca="1">IF((IF($G$4="Yes",SUMIFS('DATA INPUT'!$C$3:$C$3000,'DATA INPUT'!$A$3:$A$3000,"&gt;="&amp;Q2,'DATA INPUT'!$A$3:$A$3000,"&lt;="&amp;Q3,'DATA INPUT'!$G$3:$G$3000,"&lt;&gt;School Service"),SUMIFS('DATA INPUT'!$C$3:$C$3000,'DATA INPUT'!$A$3:$A$3000,"&gt;="&amp;Q2,'DATA INPUT'!$A$3:$A$3000,"&lt;="&amp;Q3,'DATA INPUT'!$G$3:$G$3000,"&lt;&gt;School Service",'DATA INPUT'!$F$3:$F$3000,"&lt;&gt;*Exclude*"))/Q4)=0,#N/A,IF($G$4="Yes",SUMIFS('DATA INPUT'!$C$3:$C$3000,'DATA INPUT'!$A$3:$A$3000,"&gt;="&amp;Q2,'DATA INPUT'!$A$3:$A$3000,"&lt;="&amp;Q3,'DATA INPUT'!$G$3:$G$3000,"&lt;&gt;School Service"),SUMIFS('DATA INPUT'!$C$3:$C$3000,'DATA INPUT'!$A$3:$A$3000,"&gt;="&amp;Q2,'DATA INPUT'!$A$3:$A$3000,"&lt;="&amp;Q3,'DATA INPUT'!$G$3:$G$3000,"&lt;&gt;School Service",'DATA INPUT'!$F$3:$F$3000,"&lt;&gt;*Exclude*"))/Q4)</f>
        <v>#N/A</v>
      </c>
      <c r="R31" s="117" t="e">
        <f ca="1">IF((IF($G$4="Yes",SUMIFS('DATA INPUT'!$C$3:$C$3000,'DATA INPUT'!$A$3:$A$3000,"&gt;="&amp;R2,'DATA INPUT'!$A$3:$A$3000,"&lt;="&amp;R3,'DATA INPUT'!$G$3:$G$3000,"&lt;&gt;School Service"),SUMIFS('DATA INPUT'!$C$3:$C$3000,'DATA INPUT'!$A$3:$A$3000,"&gt;="&amp;R2,'DATA INPUT'!$A$3:$A$3000,"&lt;="&amp;R3,'DATA INPUT'!$G$3:$G$3000,"&lt;&gt;School Service",'DATA INPUT'!$F$3:$F$3000,"&lt;&gt;*Exclude*"))/R4)=0,#N/A,IF($G$4="Yes",SUMIFS('DATA INPUT'!$C$3:$C$3000,'DATA INPUT'!$A$3:$A$3000,"&gt;="&amp;R2,'DATA INPUT'!$A$3:$A$3000,"&lt;="&amp;R3,'DATA INPUT'!$G$3:$G$3000,"&lt;&gt;School Service"),SUMIFS('DATA INPUT'!$C$3:$C$3000,'DATA INPUT'!$A$3:$A$3000,"&gt;="&amp;R2,'DATA INPUT'!$A$3:$A$3000,"&lt;="&amp;R3,'DATA INPUT'!$G$3:$G$3000,"&lt;&gt;School Service",'DATA INPUT'!$F$3:$F$3000,"&lt;&gt;*Exclude*"))/R4)</f>
        <v>#N/A</v>
      </c>
      <c r="S31" s="117" t="e">
        <f ca="1">IF((IF($G$4="Yes",SUMIFS('DATA INPUT'!$C$3:$C$3000,'DATA INPUT'!$A$3:$A$3000,"&gt;="&amp;S2,'DATA INPUT'!$A$3:$A$3000,"&lt;="&amp;S3,'DATA INPUT'!$G$3:$G$3000,"&lt;&gt;School Service"),SUMIFS('DATA INPUT'!$C$3:$C$3000,'DATA INPUT'!$A$3:$A$3000,"&gt;="&amp;S2,'DATA INPUT'!$A$3:$A$3000,"&lt;="&amp;S3,'DATA INPUT'!$G$3:$G$3000,"&lt;&gt;School Service",'DATA INPUT'!$F$3:$F$3000,"&lt;&gt;*Exclude*"))/S4)=0,#N/A,IF($G$4="Yes",SUMIFS('DATA INPUT'!$C$3:$C$3000,'DATA INPUT'!$A$3:$A$3000,"&gt;="&amp;S2,'DATA INPUT'!$A$3:$A$3000,"&lt;="&amp;S3,'DATA INPUT'!$G$3:$G$3000,"&lt;&gt;School Service"),SUMIFS('DATA INPUT'!$C$3:$C$3000,'DATA INPUT'!$A$3:$A$3000,"&gt;="&amp;S2,'DATA INPUT'!$A$3:$A$3000,"&lt;="&amp;S3,'DATA INPUT'!$G$3:$G$3000,"&lt;&gt;School Service",'DATA INPUT'!$F$3:$F$3000,"&lt;&gt;*Exclude*"))/S4)</f>
        <v>#N/A</v>
      </c>
      <c r="T31" s="117" t="e">
        <f ca="1">IF((IF($G$4="Yes",SUMIFS('DATA INPUT'!$C$3:$C$3000,'DATA INPUT'!$A$3:$A$3000,"&gt;="&amp;T2,'DATA INPUT'!$A$3:$A$3000,"&lt;="&amp;T3,'DATA INPUT'!$G$3:$G$3000,"&lt;&gt;School Service"),SUMIFS('DATA INPUT'!$C$3:$C$3000,'DATA INPUT'!$A$3:$A$3000,"&gt;="&amp;T2,'DATA INPUT'!$A$3:$A$3000,"&lt;="&amp;T3,'DATA INPUT'!$G$3:$G$3000,"&lt;&gt;School Service",'DATA INPUT'!$F$3:$F$3000,"&lt;&gt;*Exclude*"))/T4)=0,#N/A,IF($G$4="Yes",SUMIFS('DATA INPUT'!$C$3:$C$3000,'DATA INPUT'!$A$3:$A$3000,"&gt;="&amp;T2,'DATA INPUT'!$A$3:$A$3000,"&lt;="&amp;T3,'DATA INPUT'!$G$3:$G$3000,"&lt;&gt;School Service"),SUMIFS('DATA INPUT'!$C$3:$C$3000,'DATA INPUT'!$A$3:$A$3000,"&gt;="&amp;T2,'DATA INPUT'!$A$3:$A$3000,"&lt;="&amp;T3,'DATA INPUT'!$G$3:$G$3000,"&lt;&gt;School Service",'DATA INPUT'!$F$3:$F$3000,"&lt;&gt;*Exclude*"))/T4)</f>
        <v>#N/A</v>
      </c>
      <c r="U31" s="117" t="e">
        <f ca="1">IF((IF($G$4="Yes",SUMIFS('DATA INPUT'!$C$3:$C$3000,'DATA INPUT'!$A$3:$A$3000,"&gt;="&amp;U2,'DATA INPUT'!$A$3:$A$3000,"&lt;="&amp;U3,'DATA INPUT'!$G$3:$G$3000,"&lt;&gt;School Service"),SUMIFS('DATA INPUT'!$C$3:$C$3000,'DATA INPUT'!$A$3:$A$3000,"&gt;="&amp;U2,'DATA INPUT'!$A$3:$A$3000,"&lt;="&amp;U3,'DATA INPUT'!$G$3:$G$3000,"&lt;&gt;School Service",'DATA INPUT'!$F$3:$F$3000,"&lt;&gt;*Exclude*"))/U4)=0,#N/A,IF($G$4="Yes",SUMIFS('DATA INPUT'!$C$3:$C$3000,'DATA INPUT'!$A$3:$A$3000,"&gt;="&amp;U2,'DATA INPUT'!$A$3:$A$3000,"&lt;="&amp;U3,'DATA INPUT'!$G$3:$G$3000,"&lt;&gt;School Service"),SUMIFS('DATA INPUT'!$C$3:$C$3000,'DATA INPUT'!$A$3:$A$3000,"&gt;="&amp;U2,'DATA INPUT'!$A$3:$A$3000,"&lt;="&amp;U3,'DATA INPUT'!$G$3:$G$3000,"&lt;&gt;School Service",'DATA INPUT'!$F$3:$F$3000,"&lt;&gt;*Exclude*"))/U4)</f>
        <v>#N/A</v>
      </c>
      <c r="V31" s="117" t="e">
        <f ca="1">IF((IF($G$4="Yes",SUMIFS('DATA INPUT'!$C$3:$C$3000,'DATA INPUT'!$A$3:$A$3000,"&gt;="&amp;V2,'DATA INPUT'!$A$3:$A$3000,"&lt;="&amp;V3,'DATA INPUT'!$G$3:$G$3000,"&lt;&gt;School Service"),SUMIFS('DATA INPUT'!$C$3:$C$3000,'DATA INPUT'!$A$3:$A$3000,"&gt;="&amp;V2,'DATA INPUT'!$A$3:$A$3000,"&lt;="&amp;V3,'DATA INPUT'!$G$3:$G$3000,"&lt;&gt;School Service",'DATA INPUT'!$F$3:$F$3000,"&lt;&gt;*Exclude*"))/V4)=0,#N/A,IF($G$4="Yes",SUMIFS('DATA INPUT'!$C$3:$C$3000,'DATA INPUT'!$A$3:$A$3000,"&gt;="&amp;V2,'DATA INPUT'!$A$3:$A$3000,"&lt;="&amp;V3,'DATA INPUT'!$G$3:$G$3000,"&lt;&gt;School Service"),SUMIFS('DATA INPUT'!$C$3:$C$3000,'DATA INPUT'!$A$3:$A$3000,"&gt;="&amp;V2,'DATA INPUT'!$A$3:$A$3000,"&lt;="&amp;V3,'DATA INPUT'!$G$3:$G$3000,"&lt;&gt;School Service",'DATA INPUT'!$F$3:$F$3000,"&lt;&gt;*Exclude*"))/V4)</f>
        <v>#N/A</v>
      </c>
      <c r="W31" s="117"/>
      <c r="X31" s="117"/>
    </row>
    <row r="32" spans="2:24" x14ac:dyDescent="0.3">
      <c r="B32" s="12"/>
      <c r="C32" s="195"/>
      <c r="D32" s="195"/>
      <c r="E32" s="195"/>
      <c r="F32" s="195"/>
      <c r="G32" s="195"/>
      <c r="M32" s="166" t="s">
        <v>108</v>
      </c>
      <c r="N32" s="117" t="e">
        <f ca="1">IF((IF($G$4="Yes",SUMIFS('DATA INPUT'!$D$3:$D$3000,'DATA INPUT'!$A$3:$A$3000,"&gt;="&amp;N2,'DATA INPUT'!$A$3:$A$3000,"&lt;="&amp;N3,'DATA INPUT'!$G$3:$G$3000,"&lt;&gt;School Service"),SUMIFS('DATA INPUT'!$D$3:$D$3000,'DATA INPUT'!$A$3:$A$3000,"&gt;="&amp;N2,'DATA INPUT'!$A$3:$A$3000,"&lt;="&amp;N3,'DATA INPUT'!$G$3:$G$3000,"&lt;&gt;School Service",'DATA INPUT'!$F$3:$F$3000,"&lt;&gt;*Exclude*"))/N4)=0,#N/A,IF($G$4="Yes",SUMIFS('DATA INPUT'!$D$3:$D$3000,'DATA INPUT'!$A$3:$A$3000,"&gt;="&amp;N2,'DATA INPUT'!$A$3:$A$3000,"&lt;="&amp;N3,'DATA INPUT'!$G$3:$G$3000,"&lt;&gt;School Service"),SUMIFS('DATA INPUT'!$D$3:$D$3000,'DATA INPUT'!$A$3:$A$3000,"&gt;="&amp;N2,'DATA INPUT'!$A$3:$A$3000,"&lt;="&amp;N3,'DATA INPUT'!$G$3:$G$3000,"&lt;&gt;School Service",'DATA INPUT'!$F$3:$F$3000,"&lt;&gt;*Exclude*"))/N4)</f>
        <v>#N/A</v>
      </c>
      <c r="O32" s="117" t="e">
        <f ca="1">IF((IF($G$4="Yes",SUMIFS('DATA INPUT'!$D$3:$D$3000,'DATA INPUT'!$A$3:$A$3000,"&gt;="&amp;O2,'DATA INPUT'!$A$3:$A$3000,"&lt;="&amp;O3,'DATA INPUT'!$G$3:$G$3000,"&lt;&gt;School Service"),SUMIFS('DATA INPUT'!$D$3:$D$3000,'DATA INPUT'!$A$3:$A$3000,"&gt;="&amp;O2,'DATA INPUT'!$A$3:$A$3000,"&lt;="&amp;O3,'DATA INPUT'!$G$3:$G$3000,"&lt;&gt;School Service",'DATA INPUT'!$F$3:$F$3000,"&lt;&gt;*Exclude*"))/O4)=0,#N/A,IF($G$4="Yes",SUMIFS('DATA INPUT'!$D$3:$D$3000,'DATA INPUT'!$A$3:$A$3000,"&gt;="&amp;O2,'DATA INPUT'!$A$3:$A$3000,"&lt;="&amp;O3,'DATA INPUT'!$G$3:$G$3000,"&lt;&gt;School Service"),SUMIFS('DATA INPUT'!$D$3:$D$3000,'DATA INPUT'!$A$3:$A$3000,"&gt;="&amp;O2,'DATA INPUT'!$A$3:$A$3000,"&lt;="&amp;O3,'DATA INPUT'!$G$3:$G$3000,"&lt;&gt;School Service",'DATA INPUT'!$F$3:$F$3000,"&lt;&gt;*Exclude*"))/O4)</f>
        <v>#N/A</v>
      </c>
      <c r="P32" s="117" t="e">
        <f ca="1">IF((IF($G$4="Yes",SUMIFS('DATA INPUT'!$D$3:$D$3000,'DATA INPUT'!$A$3:$A$3000,"&gt;="&amp;P2,'DATA INPUT'!$A$3:$A$3000,"&lt;="&amp;P3,'DATA INPUT'!$G$3:$G$3000,"&lt;&gt;School Service"),SUMIFS('DATA INPUT'!$D$3:$D$3000,'DATA INPUT'!$A$3:$A$3000,"&gt;="&amp;P2,'DATA INPUT'!$A$3:$A$3000,"&lt;="&amp;P3,'DATA INPUT'!$G$3:$G$3000,"&lt;&gt;School Service",'DATA INPUT'!$F$3:$F$3000,"&lt;&gt;*Exclude*"))/P4)=0,#N/A,IF($G$4="Yes",SUMIFS('DATA INPUT'!$D$3:$D$3000,'DATA INPUT'!$A$3:$A$3000,"&gt;="&amp;P2,'DATA INPUT'!$A$3:$A$3000,"&lt;="&amp;P3,'DATA INPUT'!$G$3:$G$3000,"&lt;&gt;School Service"),SUMIFS('DATA INPUT'!$D$3:$D$3000,'DATA INPUT'!$A$3:$A$3000,"&gt;="&amp;P2,'DATA INPUT'!$A$3:$A$3000,"&lt;="&amp;P3,'DATA INPUT'!$G$3:$G$3000,"&lt;&gt;School Service",'DATA INPUT'!$F$3:$F$3000,"&lt;&gt;*Exclude*"))/P4)</f>
        <v>#N/A</v>
      </c>
      <c r="Q32" s="117" t="e">
        <f ca="1">IF((IF($G$4="Yes",SUMIFS('DATA INPUT'!$D$3:$D$3000,'DATA INPUT'!$A$3:$A$3000,"&gt;="&amp;Q2,'DATA INPUT'!$A$3:$A$3000,"&lt;="&amp;Q3,'DATA INPUT'!$G$3:$G$3000,"&lt;&gt;School Service"),SUMIFS('DATA INPUT'!$D$3:$D$3000,'DATA INPUT'!$A$3:$A$3000,"&gt;="&amp;Q2,'DATA INPUT'!$A$3:$A$3000,"&lt;="&amp;Q3,'DATA INPUT'!$G$3:$G$3000,"&lt;&gt;School Service",'DATA INPUT'!$F$3:$F$3000,"&lt;&gt;*Exclude*"))/Q4)=0,#N/A,IF($G$4="Yes",SUMIFS('DATA INPUT'!$D$3:$D$3000,'DATA INPUT'!$A$3:$A$3000,"&gt;="&amp;Q2,'DATA INPUT'!$A$3:$A$3000,"&lt;="&amp;Q3,'DATA INPUT'!$G$3:$G$3000,"&lt;&gt;School Service"),SUMIFS('DATA INPUT'!$D$3:$D$3000,'DATA INPUT'!$A$3:$A$3000,"&gt;="&amp;Q2,'DATA INPUT'!$A$3:$A$3000,"&lt;="&amp;Q3,'DATA INPUT'!$G$3:$G$3000,"&lt;&gt;School Service",'DATA INPUT'!$F$3:$F$3000,"&lt;&gt;*Exclude*"))/Q4)</f>
        <v>#N/A</v>
      </c>
      <c r="R32" s="117" t="e">
        <f ca="1">IF((IF($G$4="Yes",SUMIFS('DATA INPUT'!$D$3:$D$3000,'DATA INPUT'!$A$3:$A$3000,"&gt;="&amp;R2,'DATA INPUT'!$A$3:$A$3000,"&lt;="&amp;R3,'DATA INPUT'!$G$3:$G$3000,"&lt;&gt;School Service"),SUMIFS('DATA INPUT'!$D$3:$D$3000,'DATA INPUT'!$A$3:$A$3000,"&gt;="&amp;R2,'DATA INPUT'!$A$3:$A$3000,"&lt;="&amp;R3,'DATA INPUT'!$G$3:$G$3000,"&lt;&gt;School Service",'DATA INPUT'!$F$3:$F$3000,"&lt;&gt;*Exclude*"))/R4)=0,#N/A,IF($G$4="Yes",SUMIFS('DATA INPUT'!$D$3:$D$3000,'DATA INPUT'!$A$3:$A$3000,"&gt;="&amp;R2,'DATA INPUT'!$A$3:$A$3000,"&lt;="&amp;R3,'DATA INPUT'!$G$3:$G$3000,"&lt;&gt;School Service"),SUMIFS('DATA INPUT'!$D$3:$D$3000,'DATA INPUT'!$A$3:$A$3000,"&gt;="&amp;R2,'DATA INPUT'!$A$3:$A$3000,"&lt;="&amp;R3,'DATA INPUT'!$G$3:$G$3000,"&lt;&gt;School Service",'DATA INPUT'!$F$3:$F$3000,"&lt;&gt;*Exclude*"))/R4)</f>
        <v>#N/A</v>
      </c>
      <c r="S32" s="117" t="e">
        <f ca="1">IF((IF($G$4="Yes",SUMIFS('DATA INPUT'!$D$3:$D$3000,'DATA INPUT'!$A$3:$A$3000,"&gt;="&amp;S2,'DATA INPUT'!$A$3:$A$3000,"&lt;="&amp;S3,'DATA INPUT'!$G$3:$G$3000,"&lt;&gt;School Service"),SUMIFS('DATA INPUT'!$D$3:$D$3000,'DATA INPUT'!$A$3:$A$3000,"&gt;="&amp;S2,'DATA INPUT'!$A$3:$A$3000,"&lt;="&amp;S3,'DATA INPUT'!$G$3:$G$3000,"&lt;&gt;School Service",'DATA INPUT'!$F$3:$F$3000,"&lt;&gt;*Exclude*"))/S4)=0,#N/A,IF($G$4="Yes",SUMIFS('DATA INPUT'!$D$3:$D$3000,'DATA INPUT'!$A$3:$A$3000,"&gt;="&amp;S2,'DATA INPUT'!$A$3:$A$3000,"&lt;="&amp;S3,'DATA INPUT'!$G$3:$G$3000,"&lt;&gt;School Service"),SUMIFS('DATA INPUT'!$D$3:$D$3000,'DATA INPUT'!$A$3:$A$3000,"&gt;="&amp;S2,'DATA INPUT'!$A$3:$A$3000,"&lt;="&amp;S3,'DATA INPUT'!$G$3:$G$3000,"&lt;&gt;School Service",'DATA INPUT'!$F$3:$F$3000,"&lt;&gt;*Exclude*"))/S4)</f>
        <v>#N/A</v>
      </c>
      <c r="T32" s="117" t="e">
        <f ca="1">IF((IF($G$4="Yes",SUMIFS('DATA INPUT'!$D$3:$D$3000,'DATA INPUT'!$A$3:$A$3000,"&gt;="&amp;T2,'DATA INPUT'!$A$3:$A$3000,"&lt;="&amp;T3,'DATA INPUT'!$G$3:$G$3000,"&lt;&gt;School Service"),SUMIFS('DATA INPUT'!$D$3:$D$3000,'DATA INPUT'!$A$3:$A$3000,"&gt;="&amp;T2,'DATA INPUT'!$A$3:$A$3000,"&lt;="&amp;T3,'DATA INPUT'!$G$3:$G$3000,"&lt;&gt;School Service",'DATA INPUT'!$F$3:$F$3000,"&lt;&gt;*Exclude*"))/T4)=0,#N/A,IF($G$4="Yes",SUMIFS('DATA INPUT'!$D$3:$D$3000,'DATA INPUT'!$A$3:$A$3000,"&gt;="&amp;T2,'DATA INPUT'!$A$3:$A$3000,"&lt;="&amp;T3,'DATA INPUT'!$G$3:$G$3000,"&lt;&gt;School Service"),SUMIFS('DATA INPUT'!$D$3:$D$3000,'DATA INPUT'!$A$3:$A$3000,"&gt;="&amp;T2,'DATA INPUT'!$A$3:$A$3000,"&lt;="&amp;T3,'DATA INPUT'!$G$3:$G$3000,"&lt;&gt;School Service",'DATA INPUT'!$F$3:$F$3000,"&lt;&gt;*Exclude*"))/T4)</f>
        <v>#N/A</v>
      </c>
      <c r="U32" s="117" t="e">
        <f ca="1">IF((IF($G$4="Yes",SUMIFS('DATA INPUT'!$D$3:$D$3000,'DATA INPUT'!$A$3:$A$3000,"&gt;="&amp;U2,'DATA INPUT'!$A$3:$A$3000,"&lt;="&amp;U3,'DATA INPUT'!$G$3:$G$3000,"&lt;&gt;School Service"),SUMIFS('DATA INPUT'!$D$3:$D$3000,'DATA INPUT'!$A$3:$A$3000,"&gt;="&amp;U2,'DATA INPUT'!$A$3:$A$3000,"&lt;="&amp;U3,'DATA INPUT'!$G$3:$G$3000,"&lt;&gt;School Service",'DATA INPUT'!$F$3:$F$3000,"&lt;&gt;*Exclude*"))/U4)=0,#N/A,IF($G$4="Yes",SUMIFS('DATA INPUT'!$D$3:$D$3000,'DATA INPUT'!$A$3:$A$3000,"&gt;="&amp;U2,'DATA INPUT'!$A$3:$A$3000,"&lt;="&amp;U3,'DATA INPUT'!$G$3:$G$3000,"&lt;&gt;School Service"),SUMIFS('DATA INPUT'!$D$3:$D$3000,'DATA INPUT'!$A$3:$A$3000,"&gt;="&amp;U2,'DATA INPUT'!$A$3:$A$3000,"&lt;="&amp;U3,'DATA INPUT'!$G$3:$G$3000,"&lt;&gt;School Service",'DATA INPUT'!$F$3:$F$3000,"&lt;&gt;*Exclude*"))/U4)</f>
        <v>#N/A</v>
      </c>
      <c r="V32" s="117" t="e">
        <f ca="1">IF((IF($G$4="Yes",SUMIFS('DATA INPUT'!$D$3:$D$3000,'DATA INPUT'!$A$3:$A$3000,"&gt;="&amp;V2,'DATA INPUT'!$A$3:$A$3000,"&lt;="&amp;V3,'DATA INPUT'!$G$3:$G$3000,"&lt;&gt;School Service"),SUMIFS('DATA INPUT'!$D$3:$D$3000,'DATA INPUT'!$A$3:$A$3000,"&gt;="&amp;V2,'DATA INPUT'!$A$3:$A$3000,"&lt;="&amp;V3,'DATA INPUT'!$G$3:$G$3000,"&lt;&gt;School Service",'DATA INPUT'!$F$3:$F$3000,"&lt;&gt;*Exclude*"))/V4)=0,#N/A,IF($G$4="Yes",SUMIFS('DATA INPUT'!$D$3:$D$3000,'DATA INPUT'!$A$3:$A$3000,"&gt;="&amp;V2,'DATA INPUT'!$A$3:$A$3000,"&lt;="&amp;V3,'DATA INPUT'!$G$3:$G$3000,"&lt;&gt;School Service"),SUMIFS('DATA INPUT'!$D$3:$D$3000,'DATA INPUT'!$A$3:$A$3000,"&gt;="&amp;V2,'DATA INPUT'!$A$3:$A$3000,"&lt;="&amp;V3,'DATA INPUT'!$G$3:$G$3000,"&lt;&gt;School Service",'DATA INPUT'!$F$3:$F$3000,"&lt;&gt;*Exclude*"))/V4)</f>
        <v>#N/A</v>
      </c>
      <c r="W32" s="116"/>
      <c r="X32" s="221"/>
    </row>
    <row r="33" spans="2:36" x14ac:dyDescent="0.3">
      <c r="B33" s="12"/>
      <c r="C33" s="128"/>
      <c r="D33" s="128"/>
      <c r="E33" s="128"/>
      <c r="F33" s="128"/>
      <c r="G33" s="128"/>
      <c r="M33" s="95"/>
      <c r="N33" s="94"/>
      <c r="O33" s="117"/>
      <c r="P33" s="117"/>
      <c r="Q33" s="117"/>
      <c r="R33" s="117"/>
      <c r="S33" s="117"/>
      <c r="T33" s="117"/>
      <c r="U33" s="117"/>
      <c r="V33" s="117"/>
      <c r="W33" s="136"/>
      <c r="X33" s="136"/>
    </row>
    <row r="34" spans="2:36" x14ac:dyDescent="0.3">
      <c r="B34" s="12" t="s">
        <v>68</v>
      </c>
      <c r="M34" s="149" t="s">
        <v>125</v>
      </c>
      <c r="N34" s="167">
        <f t="shared" ref="N34:V34" si="14">N30</f>
        <v>2017</v>
      </c>
      <c r="O34" s="167">
        <f t="shared" si="14"/>
        <v>2018</v>
      </c>
      <c r="P34" s="167">
        <f t="shared" si="14"/>
        <v>2019</v>
      </c>
      <c r="Q34" s="167">
        <f t="shared" si="14"/>
        <v>2020</v>
      </c>
      <c r="R34" s="167">
        <f t="shared" si="14"/>
        <v>2021</v>
      </c>
      <c r="S34" s="167">
        <f t="shared" si="14"/>
        <v>2022</v>
      </c>
      <c r="T34" s="167">
        <f t="shared" si="14"/>
        <v>2023</v>
      </c>
      <c r="U34" s="167">
        <f t="shared" si="14"/>
        <v>2024</v>
      </c>
      <c r="V34" s="167">
        <f t="shared" si="14"/>
        <v>2025</v>
      </c>
    </row>
    <row r="35" spans="2:36" x14ac:dyDescent="0.3">
      <c r="B35" s="12"/>
      <c r="L35" s="168"/>
      <c r="M35" s="169" t="s">
        <v>123</v>
      </c>
      <c r="N35" s="170" t="s">
        <v>128</v>
      </c>
      <c r="O35" s="170"/>
      <c r="P35" s="170"/>
      <c r="Q35" s="170"/>
      <c r="R35" s="170"/>
      <c r="S35" s="170"/>
      <c r="T35" s="170"/>
      <c r="U35" s="171"/>
      <c r="V35" s="171"/>
      <c r="W35" s="169"/>
      <c r="X35" s="169"/>
      <c r="Y35" s="211"/>
      <c r="Z35" s="211"/>
      <c r="AA35" s="211"/>
      <c r="AB35" s="211"/>
      <c r="AC35" s="211"/>
      <c r="AD35" s="211"/>
      <c r="AE35" s="216"/>
    </row>
    <row r="36" spans="2:36" x14ac:dyDescent="0.3">
      <c r="B36" s="35" t="s">
        <v>67</v>
      </c>
      <c r="C36" s="198" t="s">
        <v>59</v>
      </c>
      <c r="D36" s="203" t="s">
        <v>39</v>
      </c>
      <c r="E36" s="204"/>
      <c r="F36" s="205"/>
      <c r="G36" s="203" t="s">
        <v>62</v>
      </c>
      <c r="H36" s="204"/>
      <c r="I36" s="205"/>
      <c r="L36" s="168"/>
      <c r="M36" s="172" t="s">
        <v>82</v>
      </c>
      <c r="N36" s="170" t="s">
        <v>129</v>
      </c>
      <c r="O36" s="173"/>
      <c r="P36" s="173"/>
      <c r="Q36" s="173"/>
      <c r="R36" s="173"/>
      <c r="S36" s="173"/>
      <c r="T36" s="170"/>
      <c r="U36" s="171"/>
      <c r="V36" s="171"/>
      <c r="W36" s="173"/>
      <c r="X36" s="173"/>
      <c r="Y36" s="213"/>
      <c r="Z36" s="213"/>
      <c r="AA36" s="213"/>
      <c r="AB36" s="213"/>
      <c r="AC36" s="213"/>
      <c r="AD36" s="212"/>
      <c r="AE36" s="219"/>
      <c r="AF36" s="219"/>
      <c r="AG36" s="137"/>
      <c r="AH36" s="137"/>
      <c r="AI36" s="137"/>
      <c r="AJ36" s="137"/>
    </row>
    <row r="37" spans="2:36" ht="29.4" thickBot="1" x14ac:dyDescent="0.35">
      <c r="B37" s="34">
        <f>HLOOKUP($C$4,$L$24:$S$28,2,FALSE)</f>
        <v>43009</v>
      </c>
      <c r="C37" s="199"/>
      <c r="D37" s="131" t="s">
        <v>63</v>
      </c>
      <c r="E37" s="131" t="s">
        <v>64</v>
      </c>
      <c r="F37" s="131" t="s">
        <v>65</v>
      </c>
      <c r="G37" s="131" t="s">
        <v>63</v>
      </c>
      <c r="H37" s="32" t="s">
        <v>64</v>
      </c>
      <c r="I37" s="131" t="s">
        <v>65</v>
      </c>
      <c r="L37" s="174"/>
      <c r="M37" s="169" t="s">
        <v>69</v>
      </c>
      <c r="N37" s="175">
        <v>43051</v>
      </c>
      <c r="O37" s="175">
        <v>43415</v>
      </c>
      <c r="P37" s="175">
        <v>43779</v>
      </c>
      <c r="Q37" s="175">
        <v>44143</v>
      </c>
      <c r="R37" s="175">
        <v>44514</v>
      </c>
      <c r="S37" s="175">
        <v>44878</v>
      </c>
      <c r="T37" s="175">
        <v>45242</v>
      </c>
      <c r="U37" s="176">
        <v>45606</v>
      </c>
      <c r="V37" s="176">
        <v>45970</v>
      </c>
      <c r="W37" s="170"/>
      <c r="X37" s="170"/>
      <c r="Y37" s="212"/>
      <c r="Z37" s="212"/>
      <c r="AA37" s="212"/>
      <c r="AB37" s="212"/>
      <c r="AC37" s="212"/>
      <c r="AD37" s="212"/>
      <c r="AE37" s="219"/>
      <c r="AF37" s="219"/>
      <c r="AG37" s="137"/>
      <c r="AH37" s="137"/>
      <c r="AI37" s="137"/>
      <c r="AJ37" s="137"/>
    </row>
    <row r="38" spans="2:36" ht="15" thickBot="1" x14ac:dyDescent="0.35">
      <c r="B38" s="132" t="s">
        <v>60</v>
      </c>
      <c r="C38" s="127">
        <f>IF($G$4="Yes",(COUNTIF('DATA INPUT'!$A$3:$A$3000,'Stats for Mission OUTPUT'!B37)),(COUNTIFS('DATA INPUT'!$A$3:$A$3000,'Stats for Mission OUTPUT'!B37,'DATA INPUT'!$F$3:$F$3000,"&lt;&gt;*Exclude*")))</f>
        <v>0</v>
      </c>
      <c r="D38" s="129">
        <f>IF($G$4="Yes",((SUMIF('DATA INPUT'!$A$3:$A$3000,B37,'DATA INPUT'!$C$3:$C$3000))-E38-F38),(((SUMIFS('DATA INPUT'!$C$3:$C$3000,'DATA INPUT'!$A$3:$A$3000,B37,'DATA INPUT'!$F$3:$F$3000,"&lt;&gt;*Exclude*")))-E38-F38))</f>
        <v>0</v>
      </c>
      <c r="E38" s="129">
        <f>IF($G$4="Yes",((SUMIFS('DATA INPUT'!$C$3:$C$3000,'DATA INPUT'!$A$3:$A$3000,B37,'DATA INPUT'!$G$3:$G$3000,"Fresh Expression"))),(((SUMIFS('DATA INPUT'!$C$3:$C$3000,'DATA INPUT'!$A$3:$A$3000,B37,'DATA INPUT'!$F$3:$F$3000,"&lt;&gt;*Exclude*",'DATA INPUT'!$G$3:$G$3000,"Fresh Expression")))))</f>
        <v>0</v>
      </c>
      <c r="F38" s="129">
        <f>IF($G$4="Yes",((SUMIFS('DATA INPUT'!$C$3:$C$3000,'DATA INPUT'!$A$3:$A$3000,B37,'DATA INPUT'!$G$3:$G$3000,"School Service"))),(((SUMIFS('DATA INPUT'!$C$3:$C$3000,'DATA INPUT'!$A$3:$A$3000,B37,'DATA INPUT'!$F$3:$F$3000,"&lt;&gt;*Exclude*",'DATA INPUT'!$G$3:$G$3000,"School Service")))))</f>
        <v>0</v>
      </c>
      <c r="G38" s="129">
        <f>IF($G$4="Yes",((SUMIF('DATA INPUT'!$A$3:$A$3000,B37,'DATA INPUT'!$D$3:$D$3000))-H38-I38),(((SUMIFS('DATA INPUT'!$D$3:$D$3000,'DATA INPUT'!$A$3:$A$3000,B37,'DATA INPUT'!$F$3:$F$3000,"&lt;&gt;*Exclude*")))-H38-I38))</f>
        <v>0</v>
      </c>
      <c r="H38" s="129">
        <f>IF($G$4="Yes",((SUMIFS('DATA INPUT'!$D$3:$D$3000,'DATA INPUT'!$A$3:$A$3000,B37,'DATA INPUT'!$G$3:$G$3000,"Fresh Expression"))),(((SUMIFS('DATA INPUT'!$D$3:$D$3000,'DATA INPUT'!$A$3:$A$3000,B37,'DATA INPUT'!$F$3:$F$3000,"&lt;&gt;*Exclude*",'DATA INPUT'!$G$3:$G$3000,"Fresh Expression")))))</f>
        <v>0</v>
      </c>
      <c r="I38" s="129">
        <f>IF($G$4="Yes",((SUMIFS('DATA INPUT'!$D$3:$D$3000,'DATA INPUT'!$A$3:$A$3000,B37,'DATA INPUT'!$G$3:$G$3000,"School Service"))),(((SUMIFS('DATA INPUT'!$D$3:$D$3000,'DATA INPUT'!$A$3:$A$3000,B37,'DATA INPUT'!$F$3:$F$3000,"&lt;&gt;*Exclude*",'DATA INPUT'!$G$3:$G$3000,"School Service")))))</f>
        <v>0</v>
      </c>
      <c r="L38" s="168"/>
      <c r="M38" s="169" t="s">
        <v>126</v>
      </c>
      <c r="N38" s="175">
        <f>N19-WEEKDAY(N19-1)</f>
        <v>43093</v>
      </c>
      <c r="O38" s="175">
        <f>O19-WEEKDAY(O19-1)</f>
        <v>43457</v>
      </c>
      <c r="P38" s="175">
        <f t="shared" ref="P38:V38" si="15">P19-WEEKDAY(P19-1)</f>
        <v>43821</v>
      </c>
      <c r="Q38" s="175">
        <f t="shared" si="15"/>
        <v>44185</v>
      </c>
      <c r="R38" s="175">
        <f t="shared" si="15"/>
        <v>44549</v>
      </c>
      <c r="S38" s="175">
        <f t="shared" si="15"/>
        <v>44913</v>
      </c>
      <c r="T38" s="175">
        <f t="shared" si="15"/>
        <v>45284</v>
      </c>
      <c r="U38" s="175">
        <f t="shared" si="15"/>
        <v>45648</v>
      </c>
      <c r="V38" s="175">
        <f t="shared" si="15"/>
        <v>46012</v>
      </c>
      <c r="W38" s="170"/>
      <c r="X38" s="170"/>
      <c r="Y38" s="212"/>
      <c r="Z38" s="212"/>
      <c r="AA38" s="212"/>
      <c r="AB38" s="212"/>
      <c r="AC38" s="212"/>
      <c r="AD38" s="212"/>
      <c r="AE38" s="219"/>
      <c r="AF38" s="219"/>
      <c r="AG38" s="137"/>
      <c r="AH38" s="137"/>
      <c r="AI38" s="137"/>
      <c r="AJ38" s="137"/>
    </row>
    <row r="39" spans="2:36" ht="15" thickBot="1" x14ac:dyDescent="0.35">
      <c r="B39" s="132" t="s">
        <v>61</v>
      </c>
      <c r="C39" s="127">
        <f>IF($G$4="Yes",(COUNTIFS('DATA INPUT'!$A$3:$A$3000,"&gt;="&amp;L25,'DATA INPUT'!$A$3:$A$3000,"&lt;="&amp;$M25)),(COUNTIFS('DATA INPUT'!$A$3:$A$3000,"&gt;="&amp;L25,'DATA INPUT'!$A$3:$A$3000,"&lt;="&amp;$M25,'DATA INPUT'!$F$3:$F$3000,"&lt;&gt;*Exclude*")))</f>
        <v>0</v>
      </c>
      <c r="D39" s="100">
        <f>IF($G$4="Yes",((SUMIFS('DATA INPUT'!$C$3:$C$3000,'DATA INPUT'!$A$3:$A$3000,"&gt;="&amp;L25,'DATA INPUT'!$A$3:$A$3000,"&lt;="&amp;$M25))-E39-F39),(((SUMIFS('DATA INPUT'!$C$3:$C$3000,'DATA INPUT'!$A$3:$A$3000,"&gt;="&amp;L25,'DATA INPUT'!$A$3:$A$3000,"&lt;="&amp;$M25,'DATA INPUT'!$F$3:$F$3000,"&lt;&gt;*Exclude*")))-E39-F39))</f>
        <v>0</v>
      </c>
      <c r="E39" s="129">
        <f>IF($G$4="Yes",((SUMIFS('DATA INPUT'!$C$3:$C$3000,'DATA INPUT'!$G$3:$G$3000,"Fresh Expression",'DATA INPUT'!$A$3:$A$3000,"&gt;="&amp;L25,'DATA INPUT'!$A$3:$A$3000,"&lt;="&amp;$M25))),(((SUMIFS('DATA INPUT'!$C$3:$C$3000,'DATA INPUT'!$G$3:$G$3000,"Fresh Expression",'DATA INPUT'!$A$3:$A$3000,"&gt;="&amp;L25,'DATA INPUT'!$A$3:$A$3000,"&lt;="&amp;$M25,'DATA INPUT'!$F$3:$F$3000,"&lt;&gt;*Exclude*")))))</f>
        <v>0</v>
      </c>
      <c r="F39" s="129">
        <f>IF($G$4="Yes",((SUMIFS('DATA INPUT'!$C$3:$C$3000,'DATA INPUT'!$G$3:$G$3000,"School Service",'DATA INPUT'!$A$3:$A$3000,"&gt;="&amp;L25,'DATA INPUT'!$A$3:$A$3000,"&lt;="&amp;$M25))),(((SUMIFS('DATA INPUT'!$C$3:$C$3000,'DATA INPUT'!$G$3:$G$3000,"School Service",'DATA INPUT'!$A$3:$A$3000,"&gt;="&amp;L25,'DATA INPUT'!$A$3:$A$3000,"&lt;="&amp;$M25,'DATA INPUT'!$F$3:$F$3000,"&lt;&gt;*Exclude*")))))</f>
        <v>0</v>
      </c>
      <c r="G39" s="100">
        <f>IF($G$4="Yes",((SUMIFS('DATA INPUT'!$D$3:$D$3000,'DATA INPUT'!$A$3:$A$3000,"&gt;="&amp;L25,'DATA INPUT'!$A$3:$A$3000,"&lt;="&amp;$M25))-H39-I39),(((SUMIFS('DATA INPUT'!$D$3:$D$3000,'DATA INPUT'!$A$3:$A$3000,"&gt;="&amp;L25,'DATA INPUT'!$A$3:$A$3000,"&lt;="&amp;$M25,'DATA INPUT'!$F$3:$F$3000,"&lt;&gt;*Exclude*")))-H39-I39))</f>
        <v>0</v>
      </c>
      <c r="H39" s="129">
        <f>IF($G$4="Yes",((SUMIFS('DATA INPUT'!$D$3:$D$3000,'DATA INPUT'!$G$3:$G$3000,"Fresh Expression",'DATA INPUT'!$A$3:$A$3000,"&gt;="&amp;L25,'DATA INPUT'!$A$3:$A$3000,"&lt;="&amp;$M25))),(((SUMIFS('DATA INPUT'!$D$3:$D$3000,'DATA INPUT'!$G$3:$G$3000,"Fresh Expression",'DATA INPUT'!$A$3:$A$3000,"&gt;="&amp;L25,'DATA INPUT'!$A$3:$A$3000,"&lt;="&amp;$M25,'DATA INPUT'!$F$3:$F$3000,"&lt;&gt;*Exclude*")))))</f>
        <v>0</v>
      </c>
      <c r="I39" s="129">
        <f>IF($G$4="Yes",((SUMIFS('DATA INPUT'!$D$3:$D$3000,'DATA INPUT'!$G$3:$G$3000,"School Service",'DATA INPUT'!$A$3:$A$3000,"&gt;="&amp;L25,'DATA INPUT'!$A$3:$A$3000,"&lt;="&amp;$M25))),(((SUMIFS('DATA INPUT'!$D$3:$D$3000,'DATA INPUT'!$G$3:$G$3000,"School Service",'DATA INPUT'!$A$3:$A$3000,"&gt;="&amp;L25,'DATA INPUT'!$A$3:$A$3000,"&lt;="&amp;$M25,'DATA INPUT'!$F$3:$F$3000,"&lt;&gt;*Exclude*")))))</f>
        <v>0</v>
      </c>
      <c r="L39" s="168"/>
      <c r="M39" s="169" t="s">
        <v>127</v>
      </c>
      <c r="N39" s="175">
        <f>N14</f>
        <v>42841</v>
      </c>
      <c r="O39" s="175">
        <f t="shared" ref="O39:V39" si="16">O14</f>
        <v>43191</v>
      </c>
      <c r="P39" s="175">
        <f t="shared" si="16"/>
        <v>43576</v>
      </c>
      <c r="Q39" s="175">
        <f t="shared" si="16"/>
        <v>43933</v>
      </c>
      <c r="R39" s="175">
        <f t="shared" si="16"/>
        <v>44290</v>
      </c>
      <c r="S39" s="175">
        <f t="shared" si="16"/>
        <v>44668</v>
      </c>
      <c r="T39" s="175">
        <f t="shared" si="16"/>
        <v>45025</v>
      </c>
      <c r="U39" s="175">
        <f t="shared" si="16"/>
        <v>45382</v>
      </c>
      <c r="V39" s="175">
        <f t="shared" si="16"/>
        <v>45767</v>
      </c>
      <c r="W39" s="169"/>
      <c r="X39" s="169"/>
      <c r="Y39" s="211"/>
      <c r="Z39" s="211"/>
      <c r="AA39" s="211"/>
      <c r="AB39" s="211"/>
      <c r="AC39" s="211"/>
      <c r="AD39" s="211"/>
      <c r="AE39" s="220"/>
      <c r="AF39" s="219"/>
      <c r="AG39" s="137"/>
      <c r="AH39" s="137"/>
      <c r="AI39" s="137"/>
      <c r="AJ39" s="137"/>
    </row>
    <row r="40" spans="2:36" x14ac:dyDescent="0.3">
      <c r="C40" s="122"/>
      <c r="D40" s="115"/>
      <c r="E40" s="115"/>
      <c r="F40" s="115"/>
      <c r="G40" s="115"/>
      <c r="H40" s="96"/>
      <c r="I40" s="133"/>
      <c r="L40" s="168"/>
      <c r="M40" s="172"/>
      <c r="N40" s="173"/>
      <c r="O40" s="173"/>
      <c r="P40" s="173"/>
      <c r="Q40" s="173"/>
      <c r="R40" s="173"/>
      <c r="S40" s="173"/>
      <c r="T40" s="173"/>
      <c r="U40" s="171"/>
      <c r="V40" s="168"/>
      <c r="W40" s="173"/>
      <c r="X40" s="173"/>
      <c r="Y40" s="213"/>
      <c r="Z40" s="213"/>
      <c r="AA40" s="213"/>
      <c r="AB40" s="213"/>
      <c r="AC40" s="213"/>
      <c r="AD40" s="213"/>
      <c r="AE40" s="219"/>
      <c r="AF40" s="219"/>
      <c r="AG40" s="137"/>
      <c r="AH40" s="137"/>
      <c r="AI40" s="137"/>
      <c r="AJ40" s="137"/>
    </row>
    <row r="41" spans="2:36" x14ac:dyDescent="0.3">
      <c r="B41" s="35" t="str">
        <f>B36</f>
        <v>w/b</v>
      </c>
      <c r="C41" s="198" t="s">
        <v>59</v>
      </c>
      <c r="D41" s="200" t="s">
        <v>39</v>
      </c>
      <c r="E41" s="201"/>
      <c r="F41" s="202"/>
      <c r="G41" s="200" t="s">
        <v>62</v>
      </c>
      <c r="H41" s="201"/>
      <c r="I41" s="202"/>
      <c r="L41" s="174"/>
      <c r="M41" s="170"/>
      <c r="N41" s="170"/>
      <c r="O41" s="170"/>
      <c r="P41" s="170"/>
      <c r="Q41" s="170"/>
      <c r="R41" s="170"/>
      <c r="S41" s="170"/>
      <c r="T41" s="170"/>
      <c r="U41" s="171"/>
      <c r="V41" s="168"/>
      <c r="W41" s="170"/>
      <c r="X41" s="170"/>
      <c r="Y41" s="212"/>
      <c r="Z41" s="212"/>
      <c r="AA41" s="212"/>
      <c r="AB41" s="212"/>
      <c r="AC41" s="212"/>
      <c r="AD41" s="212"/>
      <c r="AE41" s="219"/>
      <c r="AF41" s="219"/>
      <c r="AG41" s="137"/>
      <c r="AH41" s="137"/>
      <c r="AI41" s="137"/>
      <c r="AJ41" s="137"/>
    </row>
    <row r="42" spans="2:36" ht="29.4" thickBot="1" x14ac:dyDescent="0.35">
      <c r="B42" s="34">
        <f>HLOOKUP($C$4,$L$24:$S$28,3,FALSE)</f>
        <v>43016</v>
      </c>
      <c r="C42" s="199"/>
      <c r="D42" s="134" t="s">
        <v>63</v>
      </c>
      <c r="E42" s="134" t="s">
        <v>64</v>
      </c>
      <c r="F42" s="134" t="s">
        <v>65</v>
      </c>
      <c r="G42" s="134" t="s">
        <v>63</v>
      </c>
      <c r="H42" s="97" t="s">
        <v>64</v>
      </c>
      <c r="I42" s="134" t="s">
        <v>65</v>
      </c>
      <c r="L42" s="168"/>
      <c r="M42" s="169"/>
      <c r="N42" s="169"/>
      <c r="O42" s="169"/>
      <c r="P42" s="169"/>
      <c r="Q42" s="169"/>
      <c r="R42" s="169"/>
      <c r="S42" s="169"/>
      <c r="T42" s="169"/>
      <c r="U42" s="168"/>
      <c r="V42" s="168"/>
      <c r="W42" s="169"/>
      <c r="X42" s="169"/>
      <c r="Y42" s="211"/>
      <c r="Z42" s="211"/>
      <c r="AA42" s="211"/>
      <c r="AB42" s="211"/>
      <c r="AC42" s="211"/>
      <c r="AD42" s="211"/>
      <c r="AE42" s="219"/>
      <c r="AF42" s="219"/>
      <c r="AG42" s="137"/>
      <c r="AH42" s="137"/>
      <c r="AI42" s="137"/>
      <c r="AJ42" s="137"/>
    </row>
    <row r="43" spans="2:36" ht="15" thickBot="1" x14ac:dyDescent="0.35">
      <c r="B43" s="132" t="s">
        <v>60</v>
      </c>
      <c r="C43" s="127">
        <f>IF($G$4="Yes",(COUNTIF('DATA INPUT'!$A$3:$A$3000,'Stats for Mission OUTPUT'!B42)),(COUNTIFS('DATA INPUT'!$A$3:$A$3000,'Stats for Mission OUTPUT'!B42,'DATA INPUT'!$F$3:$F$3000,"&lt;&gt;*Exclude*")))</f>
        <v>0</v>
      </c>
      <c r="D43" s="100">
        <f>IF($G$4="Yes",((SUMIF('DATA INPUT'!$A$3:$A$3000,B42,'DATA INPUT'!$C$3:$C$3000))-E43-F43),(((SUMIFS('DATA INPUT'!$C$3:$C$3000,'DATA INPUT'!$A$3:$A$3000,B42,'DATA INPUT'!$F$3:$F$3000,"&lt;&gt;*Exclude*")))-E43-F43))</f>
        <v>0</v>
      </c>
      <c r="E43" s="100">
        <f>IF($G$4="Yes",((SUMIFS('DATA INPUT'!$C$3:$C$3000,'DATA INPUT'!$A$3:$A$3000,B42,'DATA INPUT'!$G$3:$G$3000,"Fresh Expression"))),(((SUMIFS('DATA INPUT'!$C$3:$C$3000,'DATA INPUT'!$A$3:$A$3000,B42,'DATA INPUT'!$F$3:$F$3000,"&lt;&gt;*Exclude*",'DATA INPUT'!$G$3:$G$3000,"Fresh Expression")))))</f>
        <v>0</v>
      </c>
      <c r="F43" s="100">
        <f>IF($G$4="Yes",((SUMIFS('DATA INPUT'!$C$3:$C$3000,'DATA INPUT'!$A$3:$A$3000,B42,'DATA INPUT'!$G$3:$G$3000,"School Service"))),(((SUMIFS('DATA INPUT'!$C$3:$C$3000,'DATA INPUT'!$A$3:$A$3000,B42,'DATA INPUT'!$F$3:$F$3000,"&lt;&gt;*Exclude*",'DATA INPUT'!$G$3:$G$3000,"School Service")))))</f>
        <v>0</v>
      </c>
      <c r="G43" s="100">
        <f>IF($G$4="Yes",((SUMIF('DATA INPUT'!$A$3:$A$3000,B42,'DATA INPUT'!$D$3:$D$3000))-H43-I43),(((SUMIFS('DATA INPUT'!$D$3:$D$3000,'DATA INPUT'!$A$3:$A$3000,B42,'DATA INPUT'!$F$3:$F$3000,"&lt;&gt;*Exclude*")))-H43-I43))</f>
        <v>0</v>
      </c>
      <c r="H43" s="129">
        <f>IF($G$4="Yes",((SUMIFS('DATA INPUT'!$D$3:$D$3000,'DATA INPUT'!$A$3:$A$3000,B42,'DATA INPUT'!$G$3:$G$3000,"Fresh Expression"))),(((SUMIFS('DATA INPUT'!$D$3:$D$3000,'DATA INPUT'!$A$3:$A$3000,B42,'DATA INPUT'!$F$3:$F$3000,"&lt;&gt;*Exclude*",'DATA INPUT'!$G$3:$G$3000,"Fresh Expression")))))</f>
        <v>0</v>
      </c>
      <c r="I43" s="100">
        <f>IF($G$4="Yes",((SUMIFS('DATA INPUT'!$D$3:$D$3000,'DATA INPUT'!$A$3:$A$3000,B42,'DATA INPUT'!$G$3:$G$3000,"School Service"))),(((SUMIFS('DATA INPUT'!$D$3:$D$3000,'DATA INPUT'!$A$3:$A$3000,B42,'DATA INPUT'!$F$3:$F$3000,"&lt;&gt;*Exclude*",'DATA INPUT'!$G$3:$G$3000,"School Service")))))</f>
        <v>0</v>
      </c>
      <c r="L43" s="168"/>
      <c r="M43" s="173"/>
      <c r="N43" s="173"/>
      <c r="O43" s="173"/>
      <c r="P43" s="173"/>
      <c r="Q43" s="173"/>
      <c r="R43" s="173"/>
      <c r="S43" s="173"/>
      <c r="T43" s="173"/>
      <c r="U43" s="171"/>
      <c r="V43" s="168"/>
      <c r="W43" s="173"/>
      <c r="X43" s="173"/>
      <c r="Y43" s="213"/>
      <c r="Z43" s="213"/>
      <c r="AA43" s="213"/>
      <c r="AB43" s="213"/>
      <c r="AC43" s="213"/>
      <c r="AD43" s="213"/>
      <c r="AE43" s="219"/>
      <c r="AF43" s="219"/>
      <c r="AG43" s="137"/>
      <c r="AH43" s="137"/>
      <c r="AI43" s="137"/>
      <c r="AJ43" s="137"/>
    </row>
    <row r="44" spans="2:36" ht="15" thickBot="1" x14ac:dyDescent="0.35">
      <c r="B44" s="132" t="s">
        <v>61</v>
      </c>
      <c r="C44" s="127">
        <f>IF($G$4="Yes",(COUNTIFS('DATA INPUT'!$A$3:$A$3000,"&gt;="&amp;L26,'DATA INPUT'!$A$3:$A$3000,"&lt;="&amp;$M26)),(COUNTIFS('DATA INPUT'!$A$3:$A$3000,"&gt;="&amp;L26,'DATA INPUT'!$A$3:$A$3000,"&lt;="&amp;$M26,'DATA INPUT'!$F$3:$F$3000,"&lt;&gt;*Exclude*")))</f>
        <v>0</v>
      </c>
      <c r="D44" s="100">
        <f>IF($G$4="Yes",((SUMIFS('DATA INPUT'!$C$3:$C$3000,'DATA INPUT'!$A$3:$A$3000,"&gt;="&amp;L26,'DATA INPUT'!$A$3:$A$3000,"&lt;="&amp;$M26))-E44-F44),(((SUMIFS('DATA INPUT'!$C$3:$C$3000,'DATA INPUT'!$A$3:$A$3000,"&gt;="&amp;L26,'DATA INPUT'!$A$3:$A$3000,"&lt;="&amp;$M26,'DATA INPUT'!$F$3:$F$3000,"&lt;&gt;*Exclude*")))-E44-F44))</f>
        <v>0</v>
      </c>
      <c r="E44" s="100">
        <f>IF($G$4="Yes",((SUMIFS('DATA INPUT'!$C$3:$C$3000,'DATA INPUT'!$G$3:$G$3000,"Fresh Expression",'DATA INPUT'!$A$3:$A$3000,"&gt;="&amp;L26,'DATA INPUT'!$A$3:$A$3000,"&lt;="&amp;$M26))),(((SUMIFS('DATA INPUT'!$C$3:$C$3000,'DATA INPUT'!$G$3:$G$3000,"Fresh Expression",'DATA INPUT'!$A$3:$A$3000,"&gt;="&amp;L26,'DATA INPUT'!$A$3:$A$3000,"&lt;="&amp;$M26,'DATA INPUT'!$F$3:$F$3000,"&lt;&gt;*Exclude*")))))</f>
        <v>0</v>
      </c>
      <c r="F44" s="100">
        <f>IF($G$4="Yes",((SUMIFS('DATA INPUT'!$C$3:$C$3000,'DATA INPUT'!$G$3:$G$3000,"School Service",'DATA INPUT'!$A$3:$A$3000,"&gt;="&amp;L26,'DATA INPUT'!$A$3:$A$3000,"&lt;="&amp;$M26))),(((SUMIFS('DATA INPUT'!$C$3:$C$3000,'DATA INPUT'!$G$3:$G$3000,"School Service",'DATA INPUT'!$A$3:$A$3000,"&gt;="&amp;L26,'DATA INPUT'!$A$3:$A$3000,"&lt;="&amp;$M26,'DATA INPUT'!$F$3:$F$3000,"&lt;&gt;*Exclude*")))))</f>
        <v>0</v>
      </c>
      <c r="G44" s="100">
        <f>IF($G$4="Yes",((SUMIFS('DATA INPUT'!$D$3:$D$3000,'DATA INPUT'!$A$3:$A$3000,"&gt;="&amp;L26,'DATA INPUT'!$A$3:$A$3000,"&lt;="&amp;$M26))-H44-I44),(((SUMIFS('DATA INPUT'!$D$3:$D$3000,'DATA INPUT'!$A$3:$A$3000,"&gt;="&amp;L26,'DATA INPUT'!$A$3:$A$3000,"&lt;="&amp;$M26,'DATA INPUT'!$F$3:$F$3000,"&lt;&gt;*Exclude*")))-H44-I44))</f>
        <v>0</v>
      </c>
      <c r="H44" s="129">
        <f>IF($G$4="Yes",((SUMIFS('DATA INPUT'!$D$3:$D$3000,'DATA INPUT'!$G$3:$G$3000,"Fresh Expression",'DATA INPUT'!$A$3:$A$3000,"&gt;="&amp;L26,'DATA INPUT'!$A$3:$A$3000,"&lt;="&amp;$M26))),(((SUMIFS('DATA INPUT'!$D$3:$D$3000,'DATA INPUT'!$G$3:$G$3000,"Fresh Expression",'DATA INPUT'!$A$3:$A$3000,"&gt;="&amp;L26,'DATA INPUT'!$A$3:$A$3000,"&lt;="&amp;$M26,'DATA INPUT'!$F$3:$F$3000,"&lt;&gt;*Exclude*")))))</f>
        <v>0</v>
      </c>
      <c r="I44" s="100">
        <f>IF($G$4="Yes",((SUMIFS('DATA INPUT'!$D$3:$D$3000,'DATA INPUT'!$G$3:$G$3000,"School Service",'DATA INPUT'!$A$3:$A$3000,"&gt;="&amp;L26,'DATA INPUT'!$A$3:$A$3000,"&lt;="&amp;$M26))),(((SUMIFS('DATA INPUT'!$D$3:$D$3000,'DATA INPUT'!$G$3:$G$3000,"School Service",'DATA INPUT'!$A$3:$A$3000,"&gt;="&amp;L26,'DATA INPUT'!$A$3:$A$3000,"&lt;="&amp;$M26,'DATA INPUT'!$F$3:$F$3000,"&lt;&gt;*Exclude*")))))</f>
        <v>0</v>
      </c>
      <c r="L44" s="174"/>
      <c r="M44" s="170"/>
      <c r="N44" s="170"/>
      <c r="O44" s="170"/>
      <c r="P44" s="170"/>
      <c r="Q44" s="170"/>
      <c r="R44" s="170"/>
      <c r="S44" s="170"/>
      <c r="T44" s="170"/>
      <c r="U44" s="171"/>
      <c r="V44" s="168"/>
      <c r="W44" s="170"/>
      <c r="X44" s="170"/>
      <c r="Y44" s="212"/>
      <c r="Z44" s="212"/>
      <c r="AA44" s="212"/>
      <c r="AB44" s="212"/>
      <c r="AC44" s="212"/>
      <c r="AD44" s="212"/>
      <c r="AE44" s="219"/>
      <c r="AF44" s="219"/>
      <c r="AG44" s="137"/>
      <c r="AH44" s="137"/>
      <c r="AI44" s="137"/>
      <c r="AJ44" s="137"/>
    </row>
    <row r="45" spans="2:36" x14ac:dyDescent="0.3">
      <c r="B45" s="12"/>
      <c r="C45" s="122"/>
      <c r="D45" s="115"/>
      <c r="E45" s="115"/>
      <c r="F45" s="115"/>
      <c r="G45" s="115"/>
      <c r="H45" s="96"/>
      <c r="I45" s="133"/>
      <c r="L45" s="168"/>
      <c r="M45" s="170"/>
      <c r="N45" s="170"/>
      <c r="O45" s="170"/>
      <c r="P45" s="170"/>
      <c r="Q45" s="170"/>
      <c r="R45" s="170"/>
      <c r="S45" s="170"/>
      <c r="T45" s="170"/>
      <c r="U45" s="171"/>
      <c r="V45" s="168"/>
      <c r="W45" s="170"/>
      <c r="X45" s="170"/>
      <c r="Y45" s="212"/>
      <c r="Z45" s="212"/>
      <c r="AA45" s="212"/>
      <c r="AB45" s="212"/>
      <c r="AC45" s="212"/>
      <c r="AD45" s="212"/>
      <c r="AE45" s="219"/>
      <c r="AF45" s="219"/>
      <c r="AG45" s="137"/>
      <c r="AH45" s="137"/>
      <c r="AI45" s="137"/>
      <c r="AJ45" s="137"/>
    </row>
    <row r="46" spans="2:36" x14ac:dyDescent="0.3">
      <c r="B46" s="35" t="str">
        <f>B36</f>
        <v>w/b</v>
      </c>
      <c r="C46" s="198" t="s">
        <v>59</v>
      </c>
      <c r="D46" s="200" t="s">
        <v>39</v>
      </c>
      <c r="E46" s="201"/>
      <c r="F46" s="202"/>
      <c r="G46" s="200" t="s">
        <v>62</v>
      </c>
      <c r="H46" s="201"/>
      <c r="I46" s="202"/>
      <c r="L46" s="168"/>
      <c r="M46" s="169"/>
      <c r="N46" s="169"/>
      <c r="O46" s="169"/>
      <c r="P46" s="169"/>
      <c r="Q46" s="169"/>
      <c r="R46" s="169"/>
      <c r="S46" s="169"/>
      <c r="T46" s="169"/>
      <c r="U46" s="168"/>
      <c r="V46" s="168"/>
      <c r="W46" s="169"/>
      <c r="X46" s="169"/>
      <c r="Y46" s="211"/>
      <c r="Z46" s="211"/>
      <c r="AA46" s="211"/>
      <c r="AB46" s="211"/>
      <c r="AC46" s="211"/>
      <c r="AD46" s="211"/>
      <c r="AE46" s="220"/>
      <c r="AF46" s="219"/>
      <c r="AG46" s="137"/>
      <c r="AH46" s="137"/>
      <c r="AI46" s="137"/>
      <c r="AJ46" s="137"/>
    </row>
    <row r="47" spans="2:36" ht="29.4" thickBot="1" x14ac:dyDescent="0.35">
      <c r="B47" s="34">
        <f>HLOOKUP($C$4,$L$24:$S$28,4,FALSE)</f>
        <v>43023</v>
      </c>
      <c r="C47" s="199"/>
      <c r="D47" s="134" t="s">
        <v>63</v>
      </c>
      <c r="E47" s="134" t="s">
        <v>64</v>
      </c>
      <c r="F47" s="134" t="s">
        <v>65</v>
      </c>
      <c r="G47" s="134" t="s">
        <v>63</v>
      </c>
      <c r="H47" s="97" t="s">
        <v>64</v>
      </c>
      <c r="I47" s="134" t="s">
        <v>65</v>
      </c>
      <c r="L47" s="168"/>
      <c r="M47" s="173"/>
      <c r="N47" s="173"/>
      <c r="O47" s="173"/>
      <c r="P47" s="173"/>
      <c r="Q47" s="173"/>
      <c r="R47" s="173"/>
      <c r="S47" s="173"/>
      <c r="T47" s="173"/>
      <c r="U47" s="171"/>
      <c r="V47" s="168"/>
      <c r="W47" s="173"/>
      <c r="X47" s="173"/>
      <c r="Y47" s="213"/>
      <c r="Z47" s="213"/>
      <c r="AA47" s="213"/>
      <c r="AB47" s="213"/>
      <c r="AC47" s="213"/>
      <c r="AD47" s="213"/>
      <c r="AE47" s="219"/>
      <c r="AF47" s="219"/>
      <c r="AG47" s="137"/>
      <c r="AH47" s="137"/>
      <c r="AI47" s="137"/>
      <c r="AJ47" s="137"/>
    </row>
    <row r="48" spans="2:36" ht="15" thickBot="1" x14ac:dyDescent="0.35">
      <c r="B48" s="132" t="s">
        <v>60</v>
      </c>
      <c r="C48" s="127">
        <f>IF($G$4="Yes",(COUNTIF('DATA INPUT'!$A$3:$A$3000,'Stats for Mission OUTPUT'!B47)),(COUNTIFS('DATA INPUT'!$A$3:$A$3000,'Stats for Mission OUTPUT'!B47,'DATA INPUT'!$F$3:$F$3000,"&lt;&gt;*Exclude*")))</f>
        <v>0</v>
      </c>
      <c r="D48" s="100">
        <f>IF($G$4="Yes",((SUMIF('DATA INPUT'!$A$3:$A$3000,B47,'DATA INPUT'!$C$3:$C$3000))-E48-F48),(((SUMIFS('DATA INPUT'!$C$3:$C$3000,'DATA INPUT'!$A$3:$A$3000,B47,'DATA INPUT'!$F$3:$F$3000,"&lt;&gt;*Exclude*")))-E48-F48))</f>
        <v>0</v>
      </c>
      <c r="E48" s="100">
        <f>IF($G$4="Yes",((SUMIFS('DATA INPUT'!$C$3:$C$3000,'DATA INPUT'!$A$3:$A$3000,B47,'DATA INPUT'!$G$3:$G$3000,"Fresh Expression"))),(((SUMIFS('DATA INPUT'!$C$3:$C$3000,'DATA INPUT'!$A$3:$A$3000,B47,'DATA INPUT'!$F$3:$F$3000,"&lt;&gt;*Exclude*",'DATA INPUT'!$G$3:$G$3000,"Fresh Expression")))))</f>
        <v>0</v>
      </c>
      <c r="F48" s="100">
        <f>IF($G$4="Yes",((SUMIFS('DATA INPUT'!$C$3:$C$3000,'DATA INPUT'!$A$3:$A$3000,B47,'DATA INPUT'!$G$3:$G$3000,"School Service"))),(((SUMIFS('DATA INPUT'!$C$3:$C$3000,'DATA INPUT'!$A$3:$A$3000,B47,'DATA INPUT'!$F$3:$F$3000,"&lt;&gt;*Exclude*",'DATA INPUT'!$G$3:$G$3000,"School Service")))))</f>
        <v>0</v>
      </c>
      <c r="G48" s="100">
        <f>IF($G$4="Yes",((SUMIF('DATA INPUT'!$A$3:$A$3000,B47,'DATA INPUT'!$D$3:$D$3000))-H48-I48),(((SUMIFS('DATA INPUT'!$D$3:$D$3000,'DATA INPUT'!$A$3:$A$3000,B47,'DATA INPUT'!$F$3:$F$3000,"&lt;&gt;*Exclude*")))-H48-I48))</f>
        <v>0</v>
      </c>
      <c r="H48" s="129">
        <f>IF($G$4="Yes",((SUMIFS('DATA INPUT'!$D$3:$D$3000,'DATA INPUT'!$A$3:$A$3000,B47,'DATA INPUT'!$G$3:$G$3000,"Fresh Expression"))),(((SUMIFS('DATA INPUT'!$D$3:$D$3000,'DATA INPUT'!$A$3:$A$3000,B47,'DATA INPUT'!$F$3:$F$3000,"&lt;&gt;*Exclude*",'DATA INPUT'!$G$3:$G$3000,"Fresh Expression")))))</f>
        <v>0</v>
      </c>
      <c r="I48" s="100">
        <f>IF($G$4="Yes",((SUMIFS('DATA INPUT'!$D$3:$D$3000,'DATA INPUT'!$A$3:$A$3000,B47,'DATA INPUT'!$G$3:$G$3000,"School Service"))),(((SUMIFS('DATA INPUT'!$D$3:$D$3000,'DATA INPUT'!$A$3:$A$3000,B47,'DATA INPUT'!$F$3:$F$3000,"&lt;&gt;*Exclude*",'DATA INPUT'!$G$3:$G$3000,"School Service")))))</f>
        <v>0</v>
      </c>
      <c r="L48" s="174"/>
      <c r="M48" s="170"/>
      <c r="N48" s="170"/>
      <c r="O48" s="170"/>
      <c r="P48" s="170"/>
      <c r="Q48" s="170"/>
      <c r="R48" s="170"/>
      <c r="S48" s="170"/>
      <c r="T48" s="170"/>
      <c r="U48" s="171"/>
      <c r="V48" s="168"/>
      <c r="W48" s="170"/>
      <c r="X48" s="170"/>
      <c r="Y48" s="212"/>
      <c r="Z48" s="212"/>
      <c r="AA48" s="212"/>
      <c r="AB48" s="212"/>
      <c r="AC48" s="212"/>
      <c r="AD48" s="212"/>
      <c r="AE48" s="219"/>
      <c r="AF48" s="219"/>
      <c r="AG48" s="137"/>
      <c r="AH48" s="137"/>
      <c r="AI48" s="137"/>
      <c r="AJ48" s="137"/>
    </row>
    <row r="49" spans="2:36" ht="15" thickBot="1" x14ac:dyDescent="0.35">
      <c r="B49" s="132" t="s">
        <v>61</v>
      </c>
      <c r="C49" s="127">
        <f>IF($G$4="Yes",(COUNTIFS('DATA INPUT'!$A$3:$A$3000,"&gt;="&amp;L27,'DATA INPUT'!$A$3:$A$3000,"&lt;="&amp;$M27)),(COUNTIFS('DATA INPUT'!$A$3:$A$3000,"&gt;="&amp;L27,'DATA INPUT'!$A$3:$A$3000,"&lt;="&amp;$M27,'DATA INPUT'!$F$3:$F$3000,"&lt;&gt;*Exclude*")))</f>
        <v>0</v>
      </c>
      <c r="D49" s="100">
        <f>IF($G$4="Yes",((SUMIFS('DATA INPUT'!$C$3:$C$3000,'DATA INPUT'!$A$3:$A$3000,"&gt;="&amp;L27,'DATA INPUT'!$A$3:$A$3000,"&lt;="&amp;$M27))-E49-F49),(((SUMIFS('DATA INPUT'!$C$3:$C$3000,'DATA INPUT'!$A$3:$A$3000,"&gt;="&amp;L27,'DATA INPUT'!$A$3:$A$3000,"&lt;="&amp;$M27,'DATA INPUT'!$F$3:$F$3000,"&lt;&gt;*Exclude*")))-E49-F49))</f>
        <v>0</v>
      </c>
      <c r="E49" s="100">
        <f>IF($G$4="Yes",((SUMIFS('DATA INPUT'!$C$3:$C$3000,'DATA INPUT'!$G$3:$G$3000,"Fresh Expression",'DATA INPUT'!$A$3:$A$3000,"&gt;="&amp;L27,'DATA INPUT'!$A$3:$A$3000,"&lt;="&amp;$M27))),(((SUMIFS('DATA INPUT'!$C$3:$C$3000,'DATA INPUT'!$G$3:$G$3000,"Fresh Expression",'DATA INPUT'!$A$3:$A$3000,"&gt;="&amp;L27,'DATA INPUT'!$A$3:$A$3000,"&lt;="&amp;$M27,'DATA INPUT'!$F$3:$F$3000,"&lt;&gt;*Exclude*")))))</f>
        <v>0</v>
      </c>
      <c r="F49" s="100">
        <f>IF($G$4="Yes",((SUMIFS('DATA INPUT'!$C$3:$C$3000,'DATA INPUT'!$G$3:$G$3000,"School Service",'DATA INPUT'!$A$3:$A$3000,"&gt;="&amp;L27,'DATA INPUT'!$A$3:$A$3000,"&lt;="&amp;$M27))),(((SUMIFS('DATA INPUT'!$C$3:$C$3000,'DATA INPUT'!$G$3:$G$3000,"School Service",'DATA INPUT'!$A$3:$A$3000,"&gt;="&amp;L27,'DATA INPUT'!$A$3:$A$3000,"&lt;="&amp;$M27,'DATA INPUT'!$F$3:$F$3000,"&lt;&gt;*Exclude*")))))</f>
        <v>0</v>
      </c>
      <c r="G49" s="100">
        <f>IF($G$4="Yes",((SUMIFS('DATA INPUT'!$D$3:$D$3000,'DATA INPUT'!$A$3:$A$3000,"&gt;="&amp;L27,'DATA INPUT'!$A$3:$A$3000,"&lt;="&amp;$M27))-H49-I49),(((SUMIFS('DATA INPUT'!$D$3:$D$3000,'DATA INPUT'!$A$3:$A$3000,"&gt;="&amp;L27,'DATA INPUT'!$A$3:$A$3000,"&lt;="&amp;$M27,'DATA INPUT'!$F$3:$F$3000,"&lt;&gt;*Exclude*")))-H49-I49))</f>
        <v>0</v>
      </c>
      <c r="H49" s="129">
        <f>IF($G$4="Yes",((SUMIFS('DATA INPUT'!$D$3:$D$3000,'DATA INPUT'!$G$3:$G$3000,"Fresh Expression",'DATA INPUT'!$A$3:$A$3000,"&gt;="&amp;L27,'DATA INPUT'!$A$3:$A$3000,"&lt;="&amp;$M27))),(((SUMIFS('DATA INPUT'!$D$3:$D$3000,'DATA INPUT'!$G$3:$G$3000,"Fresh Expression",'DATA INPUT'!$A$3:$A$3000,"&gt;="&amp;L27,'DATA INPUT'!$A$3:$A$3000,"&lt;="&amp;$M27,'DATA INPUT'!$F$3:$F$3000,"&lt;&gt;*Exclude*")))))</f>
        <v>0</v>
      </c>
      <c r="I49" s="100">
        <f>IF($G$4="Yes",((SUMIFS('DATA INPUT'!$D$3:$D$3000,'DATA INPUT'!$G$3:$G$3000,"School Service",'DATA INPUT'!$A$3:$A$3000,"&gt;="&amp;L27,'DATA INPUT'!$A$3:$A$3000,"&lt;="&amp;$M27))),(((SUMIFS('DATA INPUT'!$D$3:$D$3000,'DATA INPUT'!$G$3:$G$3000,"School Service",'DATA INPUT'!$A$3:$A$3000,"&gt;="&amp;L27,'DATA INPUT'!$A$3:$A$3000,"&lt;="&amp;$M27,'DATA INPUT'!$F$3:$F$3000,"&lt;&gt;*Exclude*")))))</f>
        <v>0</v>
      </c>
      <c r="L49" s="168"/>
      <c r="M49" s="169"/>
      <c r="N49" s="169"/>
      <c r="O49" s="169"/>
      <c r="P49" s="169"/>
      <c r="Q49" s="169"/>
      <c r="R49" s="169"/>
      <c r="S49" s="169"/>
      <c r="T49" s="169"/>
      <c r="U49" s="168"/>
      <c r="V49" s="168"/>
      <c r="W49" s="169"/>
      <c r="X49" s="169"/>
      <c r="Y49" s="211"/>
      <c r="Z49" s="211"/>
      <c r="AA49" s="211"/>
      <c r="AB49" s="211"/>
      <c r="AC49" s="211"/>
      <c r="AD49" s="211"/>
      <c r="AE49" s="219"/>
      <c r="AF49" s="219"/>
      <c r="AG49" s="137"/>
      <c r="AH49" s="137"/>
      <c r="AI49" s="137"/>
      <c r="AJ49" s="137"/>
    </row>
    <row r="50" spans="2:36" x14ac:dyDescent="0.3">
      <c r="B50" s="114" t="s">
        <v>58</v>
      </c>
      <c r="C50" s="122"/>
      <c r="D50" s="115"/>
      <c r="E50" s="115"/>
      <c r="F50" s="115"/>
      <c r="G50" s="115"/>
      <c r="H50" s="96"/>
      <c r="I50" s="133"/>
      <c r="L50" s="168"/>
      <c r="M50" s="173"/>
      <c r="N50" s="173"/>
      <c r="O50" s="173"/>
      <c r="P50" s="173"/>
      <c r="Q50" s="173"/>
      <c r="R50" s="173"/>
      <c r="S50" s="173"/>
      <c r="T50" s="170"/>
      <c r="U50" s="171"/>
      <c r="V50" s="168"/>
      <c r="W50" s="173"/>
      <c r="X50" s="173"/>
      <c r="Y50" s="213"/>
      <c r="Z50" s="213"/>
      <c r="AA50" s="213"/>
      <c r="AB50" s="213"/>
      <c r="AC50" s="213"/>
      <c r="AD50" s="213"/>
      <c r="AE50" s="219"/>
      <c r="AF50" s="219"/>
      <c r="AG50" s="137"/>
      <c r="AH50" s="137"/>
      <c r="AI50" s="137"/>
      <c r="AJ50" s="137"/>
    </row>
    <row r="51" spans="2:36" x14ac:dyDescent="0.3">
      <c r="B51" s="35" t="str">
        <f>B36</f>
        <v>w/b</v>
      </c>
      <c r="C51" s="198" t="s">
        <v>59</v>
      </c>
      <c r="D51" s="200" t="s">
        <v>39</v>
      </c>
      <c r="E51" s="201"/>
      <c r="F51" s="202"/>
      <c r="G51" s="200" t="s">
        <v>62</v>
      </c>
      <c r="H51" s="201"/>
      <c r="I51" s="202"/>
      <c r="L51" s="174"/>
      <c r="M51" s="170"/>
      <c r="N51" s="170"/>
      <c r="O51" s="170"/>
      <c r="P51" s="170"/>
      <c r="Q51" s="170"/>
      <c r="R51" s="170"/>
      <c r="S51" s="170"/>
      <c r="T51" s="170"/>
      <c r="U51" s="171"/>
      <c r="V51" s="168"/>
      <c r="W51" s="170"/>
      <c r="X51" s="170"/>
      <c r="Y51" s="212"/>
      <c r="Z51" s="212"/>
      <c r="AA51" s="212"/>
      <c r="AB51" s="212"/>
      <c r="AC51" s="212"/>
      <c r="AD51" s="212"/>
      <c r="AE51" s="219"/>
      <c r="AF51" s="219"/>
      <c r="AG51" s="137"/>
      <c r="AH51" s="137"/>
      <c r="AI51" s="137"/>
      <c r="AJ51" s="137"/>
    </row>
    <row r="52" spans="2:36" ht="29.4" thickBot="1" x14ac:dyDescent="0.35">
      <c r="B52" s="34">
        <f>HLOOKUP($C$4,$L$24:$S$28,5,FALSE)</f>
        <v>43030</v>
      </c>
      <c r="C52" s="199"/>
      <c r="D52" s="134" t="s">
        <v>63</v>
      </c>
      <c r="E52" s="134" t="s">
        <v>64</v>
      </c>
      <c r="F52" s="134" t="s">
        <v>65</v>
      </c>
      <c r="G52" s="134" t="s">
        <v>63</v>
      </c>
      <c r="H52" s="97" t="s">
        <v>64</v>
      </c>
      <c r="I52" s="134" t="s">
        <v>65</v>
      </c>
      <c r="L52" s="168"/>
      <c r="M52" s="170"/>
      <c r="N52" s="170"/>
      <c r="O52" s="170"/>
      <c r="P52" s="170"/>
      <c r="Q52" s="170"/>
      <c r="R52" s="170"/>
      <c r="S52" s="170"/>
      <c r="T52" s="170"/>
      <c r="U52" s="171"/>
      <c r="V52" s="168"/>
      <c r="W52" s="170"/>
      <c r="X52" s="170"/>
      <c r="Y52" s="212"/>
      <c r="Z52" s="212"/>
      <c r="AA52" s="212"/>
      <c r="AB52" s="212"/>
      <c r="AC52" s="212"/>
      <c r="AD52" s="212"/>
      <c r="AE52" s="219"/>
      <c r="AF52" s="219"/>
      <c r="AG52" s="137"/>
      <c r="AH52" s="137"/>
      <c r="AI52" s="137"/>
      <c r="AJ52" s="137"/>
    </row>
    <row r="53" spans="2:36" ht="15" thickBot="1" x14ac:dyDescent="0.35">
      <c r="B53" s="132" t="s">
        <v>60</v>
      </c>
      <c r="C53" s="127">
        <f>IF($G$4="Yes",(COUNTIF('DATA INPUT'!$A$3:$A$3000,'Stats for Mission OUTPUT'!B52)),(COUNTIFS('DATA INPUT'!$A$3:$A$3000,'Stats for Mission OUTPUT'!B52,'DATA INPUT'!$F$3:$F$3000,"&lt;&gt;*Exclude*")))</f>
        <v>0</v>
      </c>
      <c r="D53" s="100">
        <f>IF($G$4="Yes",((SUMIF('DATA INPUT'!$A$3:$A$3000,B52,'DATA INPUT'!$C$3:$C$3000))-E53-F53),(((SUMIFS('DATA INPUT'!$C$3:$C$3000,'DATA INPUT'!$A$3:$A$3000,B52,'DATA INPUT'!$F$3:$F$3000,"&lt;&gt;*Exclude*")))-E53-F53))</f>
        <v>0</v>
      </c>
      <c r="E53" s="100">
        <f>IF($G$4="Yes",((SUMIFS('DATA INPUT'!$C$3:$C$3000,'DATA INPUT'!$A$3:$A$3000,B52,'DATA INPUT'!$G$3:$G$3000,"Fresh Expression"))),(((SUMIFS('DATA INPUT'!$C$3:$C$3000,'DATA INPUT'!$A$3:$A$3000,B52,'DATA INPUT'!$F$3:$F$3000,"&lt;&gt;*Exclude*",'DATA INPUT'!$G$3:$G$3000,"Fresh Expression")))))</f>
        <v>0</v>
      </c>
      <c r="F53" s="100">
        <f>IF($G$4="Yes",((SUMIFS('DATA INPUT'!$C$3:$C$3000,'DATA INPUT'!$A$3:$A$3000,B52,'DATA INPUT'!$G$3:$G$3000,"School Service"))),(((SUMIFS('DATA INPUT'!$C$3:$C$3000,'DATA INPUT'!$A$3:$A$3000,B52,'DATA INPUT'!$F$3:$F$3000,"&lt;&gt;*Exclude*",'DATA INPUT'!$G$3:$G$3000,"School Service")))))</f>
        <v>0</v>
      </c>
      <c r="G53" s="100">
        <f>IF($G$4="Yes",((SUMIF('DATA INPUT'!$A$3:$A$3000,B52,'DATA INPUT'!$D$3:$D$3000))-H53-I53),(((SUMIFS('DATA INPUT'!$D$3:$D$3000,'DATA INPUT'!$A$3:$A$3000,B52,'DATA INPUT'!$F$3:$F$3000,"&lt;&gt;*Exclude*")))-H53-I53))</f>
        <v>0</v>
      </c>
      <c r="H53" s="129">
        <f>IF($G$4="Yes",((SUMIFS('DATA INPUT'!$D$3:$D$3000,'DATA INPUT'!$A$3:$A$3000,B52,'DATA INPUT'!$G$3:$G$3000,"Fresh Expression"))),(((SUMIFS('DATA INPUT'!$D$3:$D$3000,'DATA INPUT'!$A$3:$A$3000,B52,'DATA INPUT'!$F$3:$F$3000,"&lt;&gt;*Exclude*",'DATA INPUT'!$G$3:$G$3000,"Fresh Expression")))))</f>
        <v>0</v>
      </c>
      <c r="I53" s="100">
        <f>IF($G$4="Yes",((SUMIFS('DATA INPUT'!$D$3:$D$3000,'DATA INPUT'!$A$3:$A$3000,B52,'DATA INPUT'!$G$3:$G$3000,"School Service"))),(((SUMIFS('DATA INPUT'!$D$3:$D$3000,'DATA INPUT'!$A$3:$A$3000,B52,'DATA INPUT'!$F$3:$F$3000,"&lt;&gt;*Exclude*",'DATA INPUT'!$G$3:$G$3000,"School Service")))))</f>
        <v>0</v>
      </c>
      <c r="L53" s="168"/>
      <c r="M53" s="169"/>
      <c r="N53" s="169"/>
      <c r="O53" s="169"/>
      <c r="P53" s="169"/>
      <c r="Q53" s="169"/>
      <c r="R53" s="169"/>
      <c r="S53" s="169"/>
      <c r="T53" s="169"/>
      <c r="U53" s="168"/>
      <c r="V53" s="168"/>
      <c r="W53" s="169"/>
      <c r="X53" s="169"/>
      <c r="Y53" s="211"/>
      <c r="Z53" s="211"/>
      <c r="AA53" s="211"/>
      <c r="AB53" s="211"/>
      <c r="AC53" s="211"/>
      <c r="AD53" s="211"/>
      <c r="AE53" s="219"/>
      <c r="AF53" s="219"/>
      <c r="AG53" s="137"/>
      <c r="AH53" s="137"/>
      <c r="AI53" s="137"/>
      <c r="AJ53" s="137"/>
    </row>
    <row r="54" spans="2:36" ht="15" thickBot="1" x14ac:dyDescent="0.35">
      <c r="B54" s="132" t="s">
        <v>61</v>
      </c>
      <c r="C54" s="127">
        <f>IF($G$4="Yes",(COUNTIFS('DATA INPUT'!$A$3:$A$3000,"&gt;="&amp;L28,'DATA INPUT'!$A$3:$A$3000,"&lt;="&amp;$M28)),(COUNTIFS('DATA INPUT'!$A$3:$A$3000,"&gt;="&amp;L28,'DATA INPUT'!$A$3:$A$3000,"&lt;="&amp;$M28,'DATA INPUT'!$F$3:$F$3000,"&lt;&gt;*Exclude*")))</f>
        <v>0</v>
      </c>
      <c r="D54" s="100">
        <f>IF($G$4="Yes",((SUMIFS('DATA INPUT'!$C$3:$C$3000,'DATA INPUT'!$A$3:$A$3000,"&gt;="&amp;L28,'DATA INPUT'!$A$3:$A$3000,"&lt;="&amp;$M28))-E54-F54),(((SUMIFS('DATA INPUT'!$C$3:$C$3000,'DATA INPUT'!$A$3:$A$3000,"&gt;="&amp;L28,'DATA INPUT'!$A$3:$A$3000,"&lt;="&amp;$M28,'DATA INPUT'!$F$3:$F$3000,"&lt;&gt;*Exclude*")))-E54-F54))</f>
        <v>0</v>
      </c>
      <c r="E54" s="100">
        <f>IF($G$4="Yes",((SUMIFS('DATA INPUT'!$C$3:$C$3000,'DATA INPUT'!$G$3:$G$3000,"Fresh Expression",'DATA INPUT'!$A$3:$A$3000,"&gt;="&amp;L28,'DATA INPUT'!$A$3:$A$3000,"&lt;="&amp;$M28))),(((SUMIFS('DATA INPUT'!$C$3:$C$3000,'DATA INPUT'!$G$3:$G$3000,"Fresh Expression",'DATA INPUT'!$A$3:$A$3000,"&gt;="&amp;L28,'DATA INPUT'!$A$3:$A$3000,"&lt;="&amp;$M28,'DATA INPUT'!$F$3:$F$3000,"&lt;&gt;*Exclude*")))))</f>
        <v>0</v>
      </c>
      <c r="F54" s="100">
        <f>IF($G$4="Yes",((SUMIFS('DATA INPUT'!$C$3:$C$3000,'DATA INPUT'!$G$3:$G$3000,"School Service",'DATA INPUT'!$A$3:$A$3000,"&gt;="&amp;L28,'DATA INPUT'!$A$3:$A$3000,"&lt;="&amp;$M28))),(((SUMIFS('DATA INPUT'!$C$3:$C$3000,'DATA INPUT'!$G$3:$G$3000,"School Service",'DATA INPUT'!$A$3:$A$3000,"&gt;="&amp;L28,'DATA INPUT'!$A$3:$A$3000,"&lt;="&amp;$M28,'DATA INPUT'!$F$3:$F$3000,"&lt;&gt;*Exclude*")))))</f>
        <v>0</v>
      </c>
      <c r="G54" s="100">
        <f>IF($G$4="Yes",((SUMIFS('DATA INPUT'!$D$3:$D$3000,'DATA INPUT'!$A$3:$A$3000,"&gt;="&amp;L28,'DATA INPUT'!$A$3:$A$3000,"&lt;="&amp;$M28))-H54-I54),(((SUMIFS('DATA INPUT'!$D$3:$D$3000,'DATA INPUT'!$A$3:$A$3000,"&gt;="&amp;L28,'DATA INPUT'!$A$3:$A$3000,"&lt;="&amp;$M28,'DATA INPUT'!$F$3:$F$3000,"&lt;&gt;*Exclude*")))-H54-I54))</f>
        <v>0</v>
      </c>
      <c r="H54" s="129">
        <f>IF($G$4="Yes",((SUMIFS('DATA INPUT'!$D$3:$D$3000,'DATA INPUT'!$G$3:$G$3000,"Fresh Expression",'DATA INPUT'!$A$3:$A$3000,"&gt;="&amp;L28,'DATA INPUT'!$A$3:$A$3000,"&lt;="&amp;$M28))),(((SUMIFS('DATA INPUT'!$D$3:$D$3000,'DATA INPUT'!$G$3:$G$3000,"Fresh Expression",'DATA INPUT'!$A$3:$A$3000,"&gt;="&amp;L28,'DATA INPUT'!$A$3:$A$3000,"&lt;="&amp;$M28,'DATA INPUT'!$F$3:$F$3000,"&lt;&gt;*Exclude*")))))</f>
        <v>0</v>
      </c>
      <c r="I54" s="100">
        <f>IF($G$4="Yes",((SUMIFS('DATA INPUT'!$D$3:$D$3000,'DATA INPUT'!$G$3:$G$3000,"School Service",'DATA INPUT'!$A$3:$A$3000,"&gt;="&amp;L28,'DATA INPUT'!$A$3:$A$3000,"&lt;="&amp;$M28))),(((SUMIFS('DATA INPUT'!$D$3:$D$3000,'DATA INPUT'!$G$3:$G$3000,"School Service",'DATA INPUT'!$A$3:$A$3000,"&gt;="&amp;L28,'DATA INPUT'!$A$3:$A$3000,"&lt;="&amp;$M28,'DATA INPUT'!$F$3:$F$3000,"&lt;&gt;*Exclude*")))))</f>
        <v>0</v>
      </c>
      <c r="L54" s="168"/>
      <c r="M54" s="173"/>
      <c r="N54" s="173"/>
      <c r="O54" s="173"/>
      <c r="P54" s="173"/>
      <c r="Q54" s="173"/>
      <c r="R54" s="173"/>
      <c r="S54" s="173"/>
      <c r="T54" s="170"/>
      <c r="U54" s="171"/>
      <c r="V54" s="168"/>
      <c r="W54" s="173"/>
      <c r="X54" s="173"/>
      <c r="Y54" s="213"/>
      <c r="Z54" s="213"/>
      <c r="AA54" s="213"/>
      <c r="AB54" s="213"/>
      <c r="AC54" s="213"/>
      <c r="AD54" s="213"/>
      <c r="AE54" s="219"/>
      <c r="AF54" s="219"/>
      <c r="AG54" s="137"/>
      <c r="AH54" s="137"/>
      <c r="AI54" s="137"/>
      <c r="AJ54" s="137"/>
    </row>
    <row r="55" spans="2:36" x14ac:dyDescent="0.3">
      <c r="L55" s="174"/>
      <c r="M55" s="170"/>
      <c r="N55" s="170"/>
      <c r="O55" s="170"/>
      <c r="P55" s="170"/>
      <c r="Q55" s="170"/>
      <c r="R55" s="170"/>
      <c r="S55" s="170"/>
      <c r="T55" s="170"/>
      <c r="U55" s="171"/>
      <c r="V55" s="168"/>
      <c r="W55" s="170"/>
      <c r="X55" s="170"/>
      <c r="Y55" s="212"/>
      <c r="Z55" s="212"/>
      <c r="AA55" s="212"/>
      <c r="AB55" s="212"/>
      <c r="AC55" s="212"/>
      <c r="AD55" s="212"/>
      <c r="AE55" s="219"/>
      <c r="AF55" s="219"/>
      <c r="AG55" s="137"/>
      <c r="AH55" s="137"/>
      <c r="AI55" s="137"/>
      <c r="AJ55" s="137"/>
    </row>
    <row r="56" spans="2:36" x14ac:dyDescent="0.3">
      <c r="L56" s="168"/>
      <c r="M56" s="169"/>
      <c r="N56" s="169"/>
      <c r="O56" s="169"/>
      <c r="P56" s="169"/>
      <c r="Q56" s="169"/>
      <c r="R56" s="169"/>
      <c r="S56" s="169"/>
      <c r="T56" s="169"/>
      <c r="U56" s="168"/>
      <c r="V56" s="168"/>
      <c r="W56" s="169"/>
      <c r="X56" s="169"/>
      <c r="Y56" s="211"/>
      <c r="Z56" s="211"/>
      <c r="AA56" s="211"/>
      <c r="AB56" s="211"/>
      <c r="AC56" s="211"/>
      <c r="AD56" s="211"/>
      <c r="AE56" s="219"/>
      <c r="AF56" s="219"/>
      <c r="AG56" s="137"/>
      <c r="AH56" s="137"/>
      <c r="AI56" s="137"/>
      <c r="AJ56" s="137"/>
    </row>
    <row r="57" spans="2:36" ht="14.4" customHeight="1" x14ac:dyDescent="0.3">
      <c r="B57" s="12" t="s">
        <v>33</v>
      </c>
      <c r="L57" s="168"/>
      <c r="M57" s="173"/>
      <c r="N57" s="173"/>
      <c r="O57" s="173"/>
      <c r="P57" s="173"/>
      <c r="Q57" s="173"/>
      <c r="R57" s="173"/>
      <c r="S57" s="173"/>
      <c r="T57" s="170"/>
      <c r="U57" s="171"/>
      <c r="V57" s="168"/>
      <c r="W57" s="173"/>
      <c r="X57" s="173"/>
      <c r="Y57" s="213"/>
      <c r="Z57" s="213"/>
      <c r="AA57" s="213"/>
      <c r="AB57" s="213"/>
      <c r="AC57" s="213"/>
      <c r="AD57" s="212"/>
      <c r="AE57" s="219"/>
      <c r="AF57" s="219"/>
      <c r="AG57" s="137"/>
      <c r="AH57" s="137"/>
      <c r="AI57" s="137"/>
      <c r="AJ57" s="137"/>
    </row>
    <row r="58" spans="2:36" x14ac:dyDescent="0.3">
      <c r="B58" s="197" t="s">
        <v>107</v>
      </c>
      <c r="C58" s="197"/>
      <c r="D58" s="197"/>
      <c r="E58" s="197"/>
      <c r="F58" s="197"/>
      <c r="G58" s="197"/>
      <c r="H58" s="197"/>
      <c r="I58" s="197"/>
      <c r="J58" s="197"/>
      <c r="L58" s="174"/>
      <c r="M58" s="170"/>
      <c r="N58" s="170"/>
      <c r="O58" s="170"/>
      <c r="P58" s="170"/>
      <c r="Q58" s="170"/>
      <c r="R58" s="170"/>
      <c r="S58" s="170"/>
      <c r="T58" s="170"/>
      <c r="U58" s="171"/>
      <c r="V58" s="168"/>
      <c r="W58" s="170"/>
      <c r="X58" s="170"/>
      <c r="Y58" s="212"/>
      <c r="Z58" s="212"/>
      <c r="AA58" s="212"/>
      <c r="AB58" s="212"/>
      <c r="AC58" s="212"/>
      <c r="AD58" s="212"/>
      <c r="AE58" s="219"/>
      <c r="AF58" s="219"/>
      <c r="AG58" s="137"/>
      <c r="AH58" s="137"/>
      <c r="AI58" s="137"/>
      <c r="AJ58" s="137"/>
    </row>
    <row r="59" spans="2:36" ht="15" thickBot="1" x14ac:dyDescent="0.35">
      <c r="B59" s="197"/>
      <c r="C59" s="197"/>
      <c r="D59" s="197"/>
      <c r="E59" s="197"/>
      <c r="F59" s="197"/>
      <c r="G59" s="197"/>
      <c r="H59" s="197"/>
      <c r="I59" s="197"/>
      <c r="J59" s="197"/>
      <c r="L59" s="177"/>
      <c r="M59" s="94"/>
      <c r="N59" s="136"/>
      <c r="O59" s="136"/>
      <c r="P59" s="136"/>
      <c r="Q59" s="136"/>
      <c r="R59" s="136"/>
      <c r="S59" s="136"/>
      <c r="T59" s="94"/>
      <c r="U59" s="94"/>
      <c r="V59" s="165"/>
      <c r="W59" s="178"/>
      <c r="X59" s="178"/>
      <c r="Y59" s="219"/>
      <c r="Z59" s="219"/>
      <c r="AA59" s="219"/>
      <c r="AB59" s="219"/>
      <c r="AC59" s="219"/>
      <c r="AD59" s="219"/>
      <c r="AE59" s="219"/>
      <c r="AF59" s="219"/>
      <c r="AG59" s="137"/>
      <c r="AH59" s="137"/>
      <c r="AI59" s="137"/>
      <c r="AJ59" s="137"/>
    </row>
    <row r="60" spans="2:36" ht="15" thickBot="1" x14ac:dyDescent="0.35">
      <c r="B60" s="96" t="s">
        <v>52</v>
      </c>
      <c r="C60" s="114" t="s">
        <v>51</v>
      </c>
      <c r="D60" s="124" t="str">
        <f ca="1">G63</f>
        <v>n/a</v>
      </c>
      <c r="G60" s="114" t="s">
        <v>40</v>
      </c>
      <c r="H60" s="31" t="s">
        <v>41</v>
      </c>
      <c r="I60" s="33" t="s">
        <v>66</v>
      </c>
      <c r="L60" s="178"/>
      <c r="M60" s="94"/>
      <c r="N60" s="136"/>
      <c r="O60" s="136"/>
      <c r="P60" s="136"/>
      <c r="Q60" s="136"/>
      <c r="R60" s="136"/>
      <c r="S60" s="136"/>
      <c r="T60" s="94"/>
      <c r="U60" s="94"/>
      <c r="V60" s="165"/>
      <c r="W60" s="178"/>
      <c r="X60" s="178"/>
      <c r="Y60" s="219"/>
      <c r="Z60" s="219"/>
      <c r="AA60" s="219"/>
      <c r="AB60" s="219"/>
      <c r="AC60" s="219"/>
      <c r="AD60" s="219"/>
      <c r="AE60" s="219"/>
      <c r="AF60" s="219"/>
      <c r="AG60" s="137"/>
      <c r="AH60" s="137"/>
      <c r="AI60" s="137"/>
      <c r="AJ60" s="137"/>
    </row>
    <row r="61" spans="2:36" ht="15" thickBot="1" x14ac:dyDescent="0.35">
      <c r="B61" s="31" t="s">
        <v>53</v>
      </c>
      <c r="C61" s="114" t="s">
        <v>34</v>
      </c>
      <c r="F61" s="114" t="s">
        <v>38</v>
      </c>
      <c r="G61" s="124" t="str">
        <f ca="1">IFERROR(HLOOKUP(G$64,$M$30:$V$32,2,FALSE),"")</f>
        <v/>
      </c>
      <c r="H61" s="124" t="str">
        <f>IFERROR(HLOOKUP(H$64,$M$30:$V$32,2,FALSE),"")</f>
        <v/>
      </c>
      <c r="I61" s="135" t="str">
        <f ca="1">IFERROR(G61-H61,"")</f>
        <v/>
      </c>
      <c r="L61" s="178"/>
      <c r="M61" s="94"/>
      <c r="N61" s="136"/>
      <c r="O61" s="136"/>
      <c r="P61" s="136"/>
      <c r="Q61" s="136"/>
      <c r="R61" s="136"/>
      <c r="S61" s="136"/>
      <c r="T61" s="94"/>
      <c r="U61" s="94"/>
      <c r="V61" s="94"/>
      <c r="W61" s="178"/>
      <c r="X61" s="178"/>
      <c r="Y61" s="219"/>
      <c r="Z61" s="219"/>
      <c r="AA61" s="219"/>
      <c r="AB61" s="219"/>
      <c r="AC61" s="219"/>
      <c r="AD61" s="219"/>
      <c r="AE61" s="219"/>
      <c r="AF61" s="219"/>
      <c r="AG61" s="137"/>
      <c r="AH61" s="137"/>
      <c r="AI61" s="137"/>
      <c r="AJ61" s="137"/>
    </row>
    <row r="62" spans="2:36" ht="15" thickBot="1" x14ac:dyDescent="0.35">
      <c r="B62" s="31" t="s">
        <v>54</v>
      </c>
      <c r="C62" s="114" t="s">
        <v>35</v>
      </c>
      <c r="F62" s="114" t="s">
        <v>39</v>
      </c>
      <c r="G62" s="124" t="str">
        <f ca="1">IFERROR(HLOOKUP(G$64,$M$30:$V$32,3,FALSE),"")</f>
        <v/>
      </c>
      <c r="H62" s="124" t="str">
        <f>IFERROR(HLOOKUP(H$64,$M$30:$V$32,3,FALSE),"")</f>
        <v/>
      </c>
      <c r="I62" s="135" t="str">
        <f t="shared" ref="I62:I63" ca="1" si="17">IFERROR(G62-H62,"")</f>
        <v/>
      </c>
      <c r="L62" s="178"/>
      <c r="M62" s="94"/>
      <c r="N62" s="136"/>
      <c r="O62" s="136"/>
      <c r="P62" s="136"/>
      <c r="Q62" s="136"/>
      <c r="R62" s="136"/>
      <c r="S62" s="136"/>
      <c r="T62" s="94"/>
      <c r="U62" s="94"/>
      <c r="V62" s="94"/>
      <c r="W62" s="178"/>
      <c r="X62" s="178"/>
      <c r="Y62" s="219"/>
      <c r="Z62" s="219"/>
      <c r="AA62" s="219"/>
      <c r="AB62" s="219"/>
      <c r="AC62" s="219"/>
      <c r="AD62" s="219"/>
      <c r="AE62" s="219"/>
      <c r="AF62" s="219"/>
      <c r="AG62" s="137"/>
      <c r="AH62" s="137"/>
      <c r="AI62" s="137"/>
      <c r="AJ62" s="137"/>
    </row>
    <row r="63" spans="2:36" ht="15" thickBot="1" x14ac:dyDescent="0.35">
      <c r="B63" s="31" t="s">
        <v>55</v>
      </c>
      <c r="C63" s="114" t="s">
        <v>36</v>
      </c>
      <c r="F63" s="114" t="s">
        <v>57</v>
      </c>
      <c r="G63" s="124" t="str">
        <f ca="1">IF((SUM(G61:G62))=0,"n/a",(SUM(G61:G62)))</f>
        <v>n/a</v>
      </c>
      <c r="H63" s="124" t="str">
        <f>IF((SUM(H61:H62))=0,"n/a",(SUM(H61:H62)))</f>
        <v>n/a</v>
      </c>
      <c r="I63" s="135" t="str">
        <f t="shared" ca="1" si="17"/>
        <v/>
      </c>
      <c r="L63" s="178"/>
      <c r="M63" s="94"/>
      <c r="N63" s="136"/>
      <c r="O63" s="136"/>
      <c r="P63" s="136"/>
      <c r="Q63" s="136"/>
      <c r="R63" s="136"/>
      <c r="S63" s="136"/>
      <c r="T63" s="94"/>
      <c r="U63" s="94"/>
      <c r="V63" s="94"/>
      <c r="W63" s="178"/>
      <c r="X63" s="178"/>
      <c r="Y63" s="219"/>
      <c r="Z63" s="219"/>
      <c r="AA63" s="219"/>
      <c r="AB63" s="219"/>
      <c r="AC63" s="219"/>
      <c r="AD63" s="219"/>
      <c r="AE63" s="219"/>
      <c r="AF63" s="219"/>
      <c r="AG63" s="137"/>
      <c r="AH63" s="137"/>
      <c r="AI63" s="137"/>
      <c r="AJ63" s="137"/>
    </row>
    <row r="64" spans="2:36" x14ac:dyDescent="0.3">
      <c r="B64" s="31" t="s">
        <v>56</v>
      </c>
      <c r="C64" s="114" t="s">
        <v>37</v>
      </c>
      <c r="G64" s="33">
        <f>C4</f>
        <v>2017</v>
      </c>
      <c r="H64" s="33">
        <f>G64-1</f>
        <v>2016</v>
      </c>
    </row>
  </sheetData>
  <sheetProtection algorithmName="SHA-512" hashValue="CDnNIbufQ4X9LLDlMBqtiNdE/+TUiqtuRq7MI6vx525OD+ZK0QG4b8gcqV28NNnvuRl6jCOuQenZN8Dg4r1NRw==" saltValue="saMwimy9ZxYuDfJKYM1x5Q==" spinCount="100000" sheet="1" selectLockedCells="1"/>
  <mergeCells count="25">
    <mergeCell ref="B5:J6"/>
    <mergeCell ref="B58:J59"/>
    <mergeCell ref="C46:C47"/>
    <mergeCell ref="D46:F46"/>
    <mergeCell ref="G46:I46"/>
    <mergeCell ref="C51:C52"/>
    <mergeCell ref="D51:F51"/>
    <mergeCell ref="G51:I51"/>
    <mergeCell ref="G36:I36"/>
    <mergeCell ref="D36:F36"/>
    <mergeCell ref="C36:C37"/>
    <mergeCell ref="C41:C42"/>
    <mergeCell ref="D41:F41"/>
    <mergeCell ref="G41:I41"/>
    <mergeCell ref="B19:J21"/>
    <mergeCell ref="L30:M30"/>
    <mergeCell ref="C22:G23"/>
    <mergeCell ref="C9:F9"/>
    <mergeCell ref="C24:G25"/>
    <mergeCell ref="C28:G29"/>
    <mergeCell ref="C30:G32"/>
    <mergeCell ref="C10:G10"/>
    <mergeCell ref="C13:G14"/>
    <mergeCell ref="C15:G17"/>
    <mergeCell ref="L23:M23"/>
  </mergeCells>
  <conditionalFormatting sqref="W30:X30 W32 O33:V33">
    <cfRule type="containsErrors" dxfId="1" priority="3">
      <formula>ISERROR(O30)</formula>
    </cfRule>
  </conditionalFormatting>
  <conditionalFormatting sqref="X32">
    <cfRule type="containsErrors" dxfId="0" priority="2">
      <formula>ISERROR(X32)</formula>
    </cfRule>
  </conditionalFormatting>
  <dataValidations count="1">
    <dataValidation type="list" allowBlank="1" showInputMessage="1" showErrorMessage="1" sqref="C4">
      <formula1>$N$1:$V$1</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'Report Tables'!$G$1:$H$1</xm:f>
          </x14:formula1>
          <xm:sqref>G4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vt:lpstr>
      <vt:lpstr>DATA INPUT</vt:lpstr>
      <vt:lpstr>Report Tables</vt:lpstr>
      <vt:lpstr>Report Graphs</vt:lpstr>
      <vt:lpstr>Stats for Mission 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Chris Priddy</cp:lastModifiedBy>
  <cp:lastPrinted>2018-05-06T19:47:03Z</cp:lastPrinted>
  <dcterms:created xsi:type="dcterms:W3CDTF">2013-01-05T12:02:19Z</dcterms:created>
  <dcterms:modified xsi:type="dcterms:W3CDTF">2018-09-06T14:11:44Z</dcterms:modified>
</cp:coreProperties>
</file>